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example'!$C$9</definedName>
    <definedName name="m_hous">'Dairy example'!$C$11</definedName>
    <definedName name="m_yard">'Dairy example'!$C$10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4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<sst xmlns="http://schemas.openxmlformats.org/spreadsheetml/2006/main" count="308" uniqueCount="266">
  <si>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</si>
  <si>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</si>
  <si>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</si>
  <si>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</si>
  <si>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</si>
  <si>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</si>
  <si>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</si>
  <si>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</si>
  <si>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</si>
  <si>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</si>
  <si>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</si>
  <si>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</si>
  <si>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</si>
  <si>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</si>
  <si>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</si>
  <si>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</si>
  <si>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</si>
  <si>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</si>
  <si>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</si>
  <si>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</si>
  <si>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</si>
  <si>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</si>
  <si>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</si>
  <si>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</si>
  <si>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</si>
  <si>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</si>
  <si>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</si>
  <si>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</si>
  <si>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</si>
  <si>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</si>
  <si>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</si>
  <si>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</si>
  <si>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</si>
  <si>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</si>
  <si>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</si>
  <si>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</si>
  <si>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</si>
  <si>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</si>
  <si>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</si>
  <si>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</si>
  <si>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</si>
  <si>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</si>
  <si>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</si>
  <si>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</si>
  <si>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</si>
  <si>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</si>
  <si>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</si>
  <si>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</si>
  <si>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</si>
  <si>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</si>
  <si>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</si>
  <si>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</si>
  <si>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</si>
  <si>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</si>
  <si>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</si>
  <si>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</si>
  <si>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</si>
  <si>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</si>
  <si>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</si>
  <si>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</si>
  <si>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</si>
  <si>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</si>
  <si>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</si>
  <si>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</si>
  <si>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</si>
  <si>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</si>
  <si>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</si>
  <si>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</si>
  <si>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</si>
  <si>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</si>
  <si>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</si>
  <si>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</si>
  <si>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</si>
  <si>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</si>
  <si>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</si>
  <si>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</si>
  <si>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</si>
  <si>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</si>
  <si>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</si>
  <si>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</si>
  <si>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</si>
  <si>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</si>
  <si>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</si>
  <si>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</si>
  <si>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</si>
  <si>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</si>
  <si>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</si>
  <si>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</si>
  <si>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</si>
  <si>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</si>
  <si>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</si>
  <si>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</si>
  <si>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</si>
  <si>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</si>
  <si>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</si>
  <si>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</si>
  <si>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</si>
  <si>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</si>
  <si>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</si>
  <si>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</si>
  <si>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</si>
  <si>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</si>
  <si>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</si>
  <si>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</si>
  <si>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</si>
  <si>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</si>
  <si>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</si>
  <si>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</si>
  <si>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</si>
  <si>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</si>
  <si>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</si>
  <si>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</si>
  <si>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</si>
  <si>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</si>
  <si>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</si>
  <si>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</si>
  <si>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</si>
  <si>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</si>
  <si>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</si>
  <si>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</si>
  <si>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</si>
  <si>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</si>
  <si>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</si>
  <si>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</si>
  <si>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</si>
  <si>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</si>
  <si>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</si>
  <si>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</si>
  <si>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</si>
  <si>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</si>
  <si>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</si>
  <si>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</si>
  <si>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</si>
  <si>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</si>
  <si>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</si>
  <si>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</si>
  <si>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</si>
  <si>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</si>
  <si>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</si>
  <si>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</si>
  <si>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</si>
  <si>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</si>
  <si>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</si>
  <si>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</si>
  <si>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</si>
  <si>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</si>
  <si>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</si>
  <si>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</si>
  <si>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</si>
  <si>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</si>
  <si>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</si>
  <si>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</si>
  <si>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</si>
  <si>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</si>
  <si>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</si>
  <si>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</si>
  <si>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</si>
  <si>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</si>
  <si>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</si>
  <si>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</si>
  <si>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</si>
  <si>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</si>
  <si>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</si>
  <si>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</si>
  <si>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</si>
  <si>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</si>
  <si>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</si>
  <si>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</si>
  <si>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</si>
  <si>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</si>
  <si>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</si>
  <si>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</si>
  <si>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</si>
  <si>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</si>
  <si>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</si>
  <si>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</si>
  <si>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</si>
  <si>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</si>
  <si>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</si>
  <si>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</si>
  <si>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</si>
  <si>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</si>
  <si>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</si>
  <si>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</si>
  <si>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</si>
  <si>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</si>
  <si>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</si>
  <si>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</si>
  <si>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</si>
  <si>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</si>
  <si>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</si>
  <si>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</si>
  <si>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</si>
  <si>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</si>
  <si>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</si>
  <si>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</si>
  <si>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</si>
  <si>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</si>
  <si>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</si>
  <si>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</si>
  <si>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</si>
  <si>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</si>
  <si>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</si>
  <si>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</si>
  <si>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</si>
  <si>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</si>
  <si>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</si>
  <si>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</si>
  <si>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</si>
  <si>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</si>
  <si>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</si>
  <si>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Dienų skaičius, kai skystas mėšlas laikomi skysto mėšlo kauptuve, D</t>
  </si>
  <si>
    <t>Dalis, dienų per metus, kai skystas mėšlas laikomas skysto mėšlo kauptuve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</si>
  <si>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</si>
  <si>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</si>
  <si>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</si>
  <si>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</si>
  <si>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t>LOJ</t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</si>
  <si>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</si>
  <si>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</si>
  <si>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</si>
  <si>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</si>
  <si>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</si>
  <si>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</si>
  <si>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</si>
  <si>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</si>
  <si>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0,29 tiršto</t>
  </si>
  <si>
    <t>0,04 skysto</t>
  </si>
  <si>
    <t>612 t.š.</t>
  </si>
  <si>
    <r>
      <t>NH</t>
    </r>
    <r>
      <rPr>
        <vertAlign val="subscript"/>
        <sz val="10"/>
        <color indexed="30"/>
        <rFont val="Times New Roman"/>
        <family val="1"/>
      </rPr>
      <t>3</t>
    </r>
  </si>
  <si>
    <r>
      <t>N</t>
    </r>
    <r>
      <rPr>
        <vertAlign val="subscript"/>
        <sz val="10"/>
        <color indexed="30"/>
        <rFont val="Times New Roman"/>
        <family val="1"/>
      </rPr>
      <t>2</t>
    </r>
    <r>
      <rPr>
        <sz val="10"/>
        <color indexed="30"/>
        <rFont val="Times New Roman"/>
        <family val="1"/>
      </rPr>
      <t>O</t>
    </r>
  </si>
  <si>
    <r>
      <t>Amoniako į aplinkos orą išsiskirs 0,2 dalis,  metinė emisija E</t>
    </r>
    <r>
      <rPr>
        <vertAlign val="subscript"/>
        <sz val="11"/>
        <color indexed="30"/>
        <rFont val="Times New Roman"/>
        <family val="1"/>
      </rPr>
      <t>teršalo</t>
    </r>
    <r>
      <rPr>
        <sz val="11"/>
        <color indexed="30"/>
        <rFont val="Times New Roman"/>
        <family val="1"/>
      </rPr>
      <t>, kg</t>
    </r>
  </si>
  <si>
    <r>
      <t>Tarša, g/s (Eteršalo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</si>
  <si>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t>Laikomų veršelių skaičius, AAP</t>
  </si>
  <si>
    <t>14 ir 13-1 tvartai</t>
  </si>
  <si>
    <r>
      <t>NH</t>
    </r>
    <r>
      <rPr>
        <b/>
        <vertAlign val="subscript"/>
        <sz val="10"/>
        <color indexed="30"/>
        <rFont val="Times New Roman"/>
        <family val="1"/>
      </rPr>
      <t>3</t>
    </r>
    <r>
      <rPr>
        <b/>
        <sz val="10"/>
        <color indexed="30"/>
        <rFont val="Times New Roman"/>
        <family val="1"/>
      </rPr>
      <t>, N</t>
    </r>
    <r>
      <rPr>
        <b/>
        <vertAlign val="subscript"/>
        <sz val="10"/>
        <color indexed="30"/>
        <rFont val="Times New Roman"/>
        <family val="1"/>
      </rPr>
      <t>2</t>
    </r>
    <r>
      <rPr>
        <b/>
        <sz val="10"/>
        <color indexed="30"/>
        <rFont val="Times New Roman"/>
        <family val="1"/>
      </rPr>
      <t>O, NO nuo skysto mėšlo saugojimo (09)</t>
    </r>
  </si>
  <si>
    <t>Viso, nuo tiršto mėšlo mėšlidės  (t.š. 613) į aplinkos orą išsiskirs, kg</t>
  </si>
  <si>
    <r>
      <t>E</t>
    </r>
    <r>
      <rPr>
        <b/>
        <vertAlign val="subscript"/>
        <sz val="11"/>
        <color indexed="30"/>
        <rFont val="Times New Roman"/>
        <family val="1"/>
      </rPr>
      <t>N2O</t>
    </r>
    <r>
      <rPr>
        <b/>
        <sz val="11"/>
        <color indexed="30"/>
        <rFont val="Times New Roman"/>
        <family val="1"/>
      </rPr>
      <t xml:space="preserve"> kiekis, kg/metus</t>
    </r>
  </si>
  <si>
    <r>
      <t>E</t>
    </r>
    <r>
      <rPr>
        <b/>
        <vertAlign val="subscript"/>
        <sz val="11"/>
        <color indexed="30"/>
        <rFont val="Times New Roman"/>
        <family val="1"/>
      </rPr>
      <t>NO</t>
    </r>
    <r>
      <rPr>
        <b/>
        <sz val="11"/>
        <color indexed="30"/>
        <rFont val="Times New Roman"/>
        <family val="1"/>
      </rPr>
      <t xml:space="preserve"> kiekis, kg/metus</t>
    </r>
  </si>
  <si>
    <r>
      <t>Tarša, g/s (E</t>
    </r>
    <r>
      <rPr>
        <vertAlign val="subscript"/>
        <sz val="10"/>
        <color indexed="30"/>
        <rFont val="Arial"/>
        <family val="2"/>
      </rPr>
      <t>NH3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</si>
  <si>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Tarša, g/s (E</t>
    </r>
    <r>
      <rPr>
        <vertAlign val="subscript"/>
        <sz val="10"/>
        <color indexed="30"/>
        <rFont val="Arial"/>
        <family val="2"/>
      </rPr>
      <t>N2O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</si>
  <si>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Tarša, g/s (E</t>
    </r>
    <r>
      <rPr>
        <vertAlign val="subscript"/>
        <sz val="10"/>
        <color indexed="30"/>
        <rFont val="Arial"/>
        <family val="2"/>
      </rPr>
      <t>NO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</si>
  <si>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KD, KD</t>
    </r>
    <r>
      <rPr>
        <b/>
        <vertAlign val="subscript"/>
        <sz val="11"/>
        <rFont val="Times New Roman"/>
        <family val="1"/>
      </rPr>
      <t>10</t>
    </r>
    <r>
      <rPr>
        <b/>
        <sz val="11"/>
        <rFont val="Times New Roman"/>
        <family val="1"/>
      </rPr>
      <t>, KD</t>
    </r>
    <r>
      <rPr>
        <b/>
        <vertAlign val="subscript"/>
        <sz val="11"/>
        <rFont val="Times New Roman"/>
        <family val="1"/>
      </rPr>
      <t>2,5</t>
    </r>
    <r>
      <rPr>
        <b/>
        <sz val="11"/>
        <rFont val="Times New Roman"/>
        <family val="1"/>
      </rPr>
      <t>, LOJ, 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apskaičiavimas. Momentinės taršos (g/s) skaičiavimas iš.</t>
    </r>
  </si>
  <si>
    <t>1. Priedas. Įvesties koeficientai</t>
  </si>
  <si>
    <t>bendra 14 ir 13-2 tvartui ir sk.m. rezervuarui bei mėšlidei</t>
  </si>
  <si>
    <t>Tarša nuo diendaržių (614 ir 615 t.š.)</t>
  </si>
  <si>
    <t>taršos šaltinio Nr.</t>
  </si>
  <si>
    <t>Bendras diendaržių plotas, m2</t>
  </si>
  <si>
    <t>Diendaržio plotas dalimis</t>
  </si>
  <si>
    <r>
      <t>Metinė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tarša, tenkanti diendaržiui, kg</t>
    </r>
  </si>
  <si>
    <r>
      <t>Metinė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tarša, kg/metus</t>
    </r>
  </si>
  <si>
    <t>Tešalų išsiskyrimo laikas, dienomis</t>
  </si>
  <si>
    <t>Tešalų išsiskyrimo laikas, val</t>
  </si>
  <si>
    <r>
      <t>Taršos šaltinio plotas, m</t>
    </r>
    <r>
      <rPr>
        <vertAlign val="superscript"/>
        <sz val="10"/>
        <rFont val="Arial"/>
        <family val="2"/>
      </rPr>
      <t>2</t>
    </r>
  </si>
  <si>
    <r>
      <t>Tarša, g/s (E</t>
    </r>
    <r>
      <rPr>
        <b/>
        <vertAlign val="subscript"/>
        <sz val="10"/>
        <rFont val="Arial"/>
        <family val="2"/>
      </rPr>
      <t>NH3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 D:24:3600)</t>
    </r>
  </si>
  <si>
    <t>Įvertinus, kad skysto mėšlo rezervuaras bus dengiamas tentu, Pagal EMEP Corinair A 1.2.3 skyriaus nuorodą Į UNECE 2013, atnaujiną 2015 amoniako tarša sumažės 80% (48 psl.), 3.B lentelė A2-2</t>
  </si>
  <si>
    <t>lygi:</t>
  </si>
  <si>
    <r>
      <t xml:space="preserve">Kadangi iš 13-2 tvarto teršalai į aplinkos orą patenka per 2 linijinius taršos šaltinius, tai metinė tarša ir tarša g/s </t>
    </r>
    <r>
      <rPr>
        <b/>
        <sz val="10"/>
        <rFont val="Times New Roman"/>
        <family val="1"/>
      </rPr>
      <t>607-1 ir 607-2</t>
    </r>
    <r>
      <rPr>
        <sz val="10"/>
        <rFont val="Times New Roman"/>
        <family val="1"/>
      </rPr>
      <t xml:space="preserve"> bus</t>
    </r>
  </si>
  <si>
    <r>
      <t>Metinė tarša E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, kg (AAP·EF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·n)</t>
    </r>
  </si>
  <si>
    <r>
      <t>Tarša, g/s (E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·10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: D:24:3600)</t>
    </r>
  </si>
  <si>
    <t>Po lygiai kiekvienam t.š. Nurodyta vieno tvarto tarša.</t>
  </si>
  <si>
    <r>
      <t>Įvertinus, kad tvartai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6 ppm iki 0,5 ppm, t.y.12 kartų</t>
    </r>
  </si>
  <si>
    <r>
      <t>Įvertinus, kad diendaržiai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6 ppm iki 0,5 ppm, t.y.12 kartų</t>
    </r>
  </si>
  <si>
    <t xml:space="preserve"> 13-2 tv (607 t.š.) ir 14 tv. (608 t.š.)</t>
  </si>
  <si>
    <r>
      <t>Įvertinus, kad skysto mėšlo rezervuaras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7,5 ppm iki 0,5 ppm, t.y.</t>
    </r>
    <r>
      <rPr>
        <sz val="11"/>
        <color indexed="10"/>
        <rFont val="Times New Roman"/>
        <family val="1"/>
      </rPr>
      <t>15 kartų</t>
    </r>
  </si>
  <si>
    <r>
      <t>Įvertinus, kad tvartai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7,5 ppm iki 0,5 ppm, t.y.15 kartų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</si>
</sst>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[$€-2]\ ###,000_);[Red]\([$€-2]\ ###,000\)"/>
    <numFmt numFmtId="179" formatCode="0.00000000"/>
    <numFmt numFmtId="180" formatCode="0.000000000"/>
  </numFmts>
  <fonts count="114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62"/>
      <name val="Times New Roman"/>
      <family val="1"/>
    </font>
    <font>
      <b/>
      <sz val="8"/>
      <name val="Times New Roman"/>
      <family val="1"/>
    </font>
    <font>
      <sz val="10"/>
      <color indexed="17"/>
      <name val="Arial"/>
      <family val="2"/>
    </font>
    <font>
      <sz val="11"/>
      <color indexed="17"/>
      <name val="Times New Roman"/>
      <family val="1"/>
    </font>
    <font>
      <sz val="10"/>
      <color indexed="49"/>
      <name val="Arial"/>
      <family val="2"/>
    </font>
    <font>
      <b/>
      <sz val="10"/>
      <color indexed="30"/>
      <name val="Times New Roman"/>
      <family val="1"/>
    </font>
    <font>
      <b/>
      <vertAlign val="subscript"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indexed="30"/>
      <name val="Times New Roman"/>
      <family val="1"/>
    </font>
    <font>
      <vertAlign val="subscript"/>
      <sz val="10"/>
      <color indexed="30"/>
      <name val="Times New Roman"/>
      <family val="1"/>
    </font>
    <font>
      <sz val="11"/>
      <color indexed="30"/>
      <name val="Times New Roman"/>
      <family val="1"/>
    </font>
    <font>
      <vertAlign val="subscript"/>
      <sz val="11"/>
      <color indexed="30"/>
      <name val="Times New Roman"/>
      <family val="1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vertAlign val="superscript"/>
      <sz val="10"/>
      <color indexed="30"/>
      <name val="Arial"/>
      <family val="2"/>
    </font>
    <font>
      <b/>
      <vertAlign val="subscript"/>
      <sz val="11"/>
      <name val="Times New Roman"/>
      <family val="1"/>
    </font>
    <font>
      <b/>
      <vertAlign val="subscript"/>
      <sz val="11"/>
      <color indexed="30"/>
      <name val="Times New Roman"/>
      <family val="1"/>
    </font>
    <font>
      <vertAlign val="subscript"/>
      <sz val="10"/>
      <color indexed="3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sz val="12"/>
      <color indexed="8"/>
      <name val="Times New Roman"/>
      <family val="2"/>
    </font>
    <font>
      <b/>
      <sz val="11"/>
      <color indexed="54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2"/>
      <color indexed="9"/>
      <name val="Times New Roman"/>
      <family val="2"/>
    </font>
    <font>
      <sz val="18"/>
      <color indexed="54"/>
      <name val="Calibri Light"/>
      <family val="2"/>
    </font>
    <font>
      <b/>
      <sz val="12"/>
      <color indexed="53"/>
      <name val="Times New Roman"/>
      <family val="2"/>
    </font>
    <font>
      <b/>
      <sz val="12"/>
      <color indexed="8"/>
      <name val="Times New Roman"/>
      <family val="2"/>
    </font>
    <font>
      <sz val="12"/>
      <color indexed="53"/>
      <name val="Times New Roman"/>
      <family val="2"/>
    </font>
    <font>
      <b/>
      <sz val="12"/>
      <color indexed="9"/>
      <name val="Times New Roman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5700"/>
      <name val="Times New Roman"/>
      <family val="2"/>
    </font>
    <font>
      <sz val="12"/>
      <color theme="0"/>
      <name val="Times New Roman"/>
      <family val="2"/>
    </font>
    <font>
      <sz val="18"/>
      <color theme="3"/>
      <name val="Calibri Light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Arial"/>
      <family val="2"/>
    </font>
    <font>
      <sz val="11"/>
      <color rgb="FF0070C0"/>
      <name val="Times New Roman"/>
      <family val="1"/>
    </font>
    <font>
      <sz val="10"/>
      <color rgb="FF0070C0"/>
      <name val="Arial"/>
      <family val="2"/>
    </font>
    <font>
      <b/>
      <sz val="11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3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2" borderId="4" applyNumberFormat="0" applyAlignment="0" applyProtection="0"/>
    <xf numFmtId="0" fontId="99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0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0" fillId="31" borderId="6" applyNumberFormat="0" applyFont="0" applyAlignment="0" applyProtection="0"/>
    <xf numFmtId="0" fontId="102" fillId="0" borderId="0" applyNumberFormat="0" applyFill="0" applyBorder="0" applyAlignment="0" applyProtection="0"/>
    <xf numFmtId="9" fontId="0" fillId="0" borderId="0" applyFill="0" applyBorder="0" applyAlignment="0" applyProtection="0"/>
    <xf numFmtId="0" fontId="103" fillId="22" borderId="5" applyNumberFormat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6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7" borderId="0" xfId="0" applyFont="1" applyFill="1" applyAlignment="1">
      <alignment wrapText="1"/>
    </xf>
    <xf numFmtId="172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73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73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73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73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173" fontId="15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173" fontId="39" fillId="0" borderId="0" xfId="0" applyNumberFormat="1" applyFont="1" applyFill="1" applyAlignment="1">
      <alignment vertical="top"/>
    </xf>
    <xf numFmtId="1" fontId="39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/>
    </xf>
    <xf numFmtId="0" fontId="39" fillId="0" borderId="0" xfId="0" applyFont="1" applyFill="1" applyAlignment="1">
      <alignment vertical="center" wrapText="1"/>
    </xf>
    <xf numFmtId="1" fontId="39" fillId="0" borderId="0" xfId="0" applyNumberFormat="1" applyFont="1" applyFill="1" applyAlignment="1">
      <alignment horizontal="right" vertical="center"/>
    </xf>
    <xf numFmtId="172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2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17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75" fontId="39" fillId="0" borderId="0" xfId="0" applyNumberFormat="1" applyFont="1" applyFill="1" applyBorder="1" applyAlignment="1">
      <alignment/>
    </xf>
    <xf numFmtId="1" fontId="40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172" fontId="19" fillId="0" borderId="0" xfId="0" applyNumberFormat="1" applyFont="1" applyFill="1" applyAlignment="1">
      <alignment vertical="center"/>
    </xf>
    <xf numFmtId="172" fontId="11" fillId="0" borderId="0" xfId="0" applyNumberFormat="1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/>
    </xf>
    <xf numFmtId="174" fontId="37" fillId="0" borderId="0" xfId="0" applyNumberFormat="1" applyFont="1" applyFill="1" applyAlignment="1">
      <alignment horizontal="right" vertical="center"/>
    </xf>
    <xf numFmtId="0" fontId="107" fillId="0" borderId="0" xfId="0" applyFont="1" applyFill="1" applyAlignment="1">
      <alignment/>
    </xf>
    <xf numFmtId="2" fontId="108" fillId="0" borderId="0" xfId="0" applyNumberFormat="1" applyFont="1" applyFill="1" applyAlignment="1">
      <alignment vertical="top"/>
    </xf>
    <xf numFmtId="173" fontId="108" fillId="0" borderId="0" xfId="0" applyNumberFormat="1" applyFont="1" applyFill="1" applyAlignment="1">
      <alignment vertical="top"/>
    </xf>
    <xf numFmtId="1" fontId="108" fillId="0" borderId="0" xfId="0" applyNumberFormat="1" applyFont="1" applyFill="1" applyAlignment="1">
      <alignment vertical="top"/>
    </xf>
    <xf numFmtId="0" fontId="109" fillId="0" borderId="0" xfId="0" applyFont="1" applyBorder="1" applyAlignment="1">
      <alignment horizontal="left" wrapText="1"/>
    </xf>
    <xf numFmtId="0" fontId="109" fillId="0" borderId="0" xfId="0" applyFont="1" applyAlignment="1">
      <alignment horizontal="left" wrapText="1"/>
    </xf>
    <xf numFmtId="0" fontId="110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vertical="center" wrapText="1"/>
    </xf>
    <xf numFmtId="172" fontId="108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Alignment="1">
      <alignment/>
    </xf>
    <xf numFmtId="0" fontId="111" fillId="0" borderId="0" xfId="0" applyFont="1" applyFill="1" applyBorder="1" applyAlignment="1">
      <alignment wrapText="1"/>
    </xf>
    <xf numFmtId="172" fontId="108" fillId="0" borderId="0" xfId="0" applyNumberFormat="1" applyFont="1" applyFill="1" applyBorder="1" applyAlignment="1">
      <alignment horizontal="center"/>
    </xf>
    <xf numFmtId="173" fontId="108" fillId="0" borderId="0" xfId="0" applyNumberFormat="1" applyFont="1" applyFill="1" applyBorder="1" applyAlignment="1">
      <alignment/>
    </xf>
    <xf numFmtId="0" fontId="112" fillId="0" borderId="0" xfId="0" applyFont="1" applyFill="1" applyAlignment="1">
      <alignment wrapText="1"/>
    </xf>
    <xf numFmtId="0" fontId="112" fillId="0" borderId="0" xfId="0" applyFont="1" applyFill="1" applyAlignment="1">
      <alignment/>
    </xf>
    <xf numFmtId="175" fontId="112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center" vertical="center" wrapText="1"/>
    </xf>
    <xf numFmtId="2" fontId="113" fillId="0" borderId="0" xfId="0" applyNumberFormat="1" applyFont="1" applyFill="1" applyBorder="1" applyAlignment="1">
      <alignment horizontal="center" vertical="center"/>
    </xf>
    <xf numFmtId="173" fontId="113" fillId="0" borderId="0" xfId="0" applyNumberFormat="1" applyFont="1" applyFill="1" applyBorder="1" applyAlignment="1">
      <alignment horizontal="center" vertical="center"/>
    </xf>
    <xf numFmtId="1" fontId="11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5" fontId="45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108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5" fontId="40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173" fontId="36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2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39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172" fontId="35" fillId="0" borderId="0" xfId="0" applyNumberFormat="1" applyFont="1" applyFill="1" applyAlignment="1">
      <alignment/>
    </xf>
    <xf numFmtId="172" fontId="108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108" fillId="0" borderId="14" xfId="0" applyFont="1" applyFill="1" applyBorder="1" applyAlignment="1">
      <alignment wrapText="1"/>
    </xf>
    <xf numFmtId="172" fontId="111" fillId="0" borderId="15" xfId="0" applyNumberFormat="1" applyFont="1" applyFill="1" applyBorder="1" applyAlignment="1">
      <alignment/>
    </xf>
    <xf numFmtId="0" fontId="108" fillId="0" borderId="16" xfId="0" applyFont="1" applyFill="1" applyBorder="1" applyAlignment="1">
      <alignment wrapText="1"/>
    </xf>
    <xf numFmtId="172" fontId="111" fillId="0" borderId="17" xfId="0" applyNumberFormat="1" applyFont="1" applyFill="1" applyBorder="1" applyAlignment="1">
      <alignment/>
    </xf>
    <xf numFmtId="0" fontId="111" fillId="0" borderId="18" xfId="0" applyFont="1" applyFill="1" applyBorder="1" applyAlignment="1">
      <alignment wrapText="1"/>
    </xf>
    <xf numFmtId="0" fontId="112" fillId="0" borderId="18" xfId="0" applyFont="1" applyFill="1" applyBorder="1" applyAlignment="1">
      <alignment wrapText="1"/>
    </xf>
    <xf numFmtId="175" fontId="111" fillId="0" borderId="19" xfId="0" applyNumberFormat="1" applyFont="1" applyFill="1" applyBorder="1" applyAlignment="1">
      <alignment/>
    </xf>
    <xf numFmtId="0" fontId="112" fillId="0" borderId="14" xfId="0" applyFont="1" applyFill="1" applyBorder="1" applyAlignment="1">
      <alignment wrapText="1"/>
    </xf>
    <xf numFmtId="175" fontId="111" fillId="0" borderId="15" xfId="0" applyNumberFormat="1" applyFont="1" applyFill="1" applyBorder="1" applyAlignment="1">
      <alignment/>
    </xf>
    <xf numFmtId="0" fontId="112" fillId="0" borderId="16" xfId="0" applyFont="1" applyFill="1" applyBorder="1" applyAlignment="1">
      <alignment wrapText="1"/>
    </xf>
    <xf numFmtId="175" fontId="111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172" fontId="108" fillId="0" borderId="19" xfId="0" applyNumberFormat="1" applyFont="1" applyFill="1" applyBorder="1" applyAlignment="1">
      <alignment/>
    </xf>
    <xf numFmtId="175" fontId="37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09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140625" style="0" customWidth="1"/>
    <col min="5" max="5" width="6.00390625" style="0" customWidth="1"/>
    <col min="6" max="6" width="8.1406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140625" style="0" customWidth="1"/>
    <col min="23" max="24" width="4.7109375" style="0" customWidth="1"/>
  </cols>
  <sheetData>
    <row r="1" ht="12.75">
      <c r="A1" s="6" t="s">
        <v>243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36</v>
      </c>
      <c r="B3" s="11" t="s">
        <v>37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38</v>
      </c>
      <c r="B4" s="17" t="s">
        <v>39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50.68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40</v>
      </c>
      <c r="B5" s="14" t="s">
        <v>41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42</v>
      </c>
      <c r="B6" s="14" t="s">
        <v>43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44</v>
      </c>
      <c r="B7" s="14" t="s">
        <v>45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46</v>
      </c>
      <c r="B8" s="14" t="s">
        <v>47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48</v>
      </c>
      <c r="B9" s="21" t="s">
        <v>49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50</v>
      </c>
      <c r="B10" s="14" t="s">
        <v>51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52</v>
      </c>
      <c r="B11" s="14" t="s">
        <v>53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54</v>
      </c>
      <c r="B12" s="14" t="s">
        <v>55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56</v>
      </c>
      <c r="B13" s="14" t="s">
        <v>57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58</v>
      </c>
      <c r="B14" s="14" t="s">
        <v>59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60</v>
      </c>
      <c r="B15" s="14" t="s">
        <v>61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62</v>
      </c>
      <c r="B16" s="14" t="s">
        <v>63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64</v>
      </c>
      <c r="C19" s="27" t="s">
        <v>65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66</v>
      </c>
      <c r="F21" s="29" t="s">
        <v>67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5118055555555555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92">
      <selection activeCell="A1" sqref="A1:G115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0.421875" style="31" customWidth="1"/>
    <col min="6" max="6" width="11.851562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226" t="s">
        <v>68</v>
      </c>
      <c r="B1" s="226"/>
      <c r="C1" s="226"/>
      <c r="D1" s="226"/>
      <c r="E1" s="226"/>
      <c r="F1" s="226"/>
      <c r="G1" s="226"/>
    </row>
    <row r="2" ht="15">
      <c r="A2" s="34"/>
    </row>
    <row r="3" spans="1:5" ht="29.25">
      <c r="A3" s="34" t="s">
        <v>69</v>
      </c>
      <c r="B3" s="30" t="s">
        <v>70</v>
      </c>
      <c r="C3" s="35">
        <v>996</v>
      </c>
      <c r="E3" s="31" t="s">
        <v>234</v>
      </c>
    </row>
    <row r="4" spans="2:3" ht="15">
      <c r="B4" s="31" t="s">
        <v>71</v>
      </c>
      <c r="C4" s="36">
        <f>Standards!C4</f>
        <v>41</v>
      </c>
    </row>
    <row r="5" spans="2:3" ht="15">
      <c r="B5" s="31" t="s">
        <v>72</v>
      </c>
      <c r="C5" s="36">
        <f>Standards!D4*100</f>
        <v>60</v>
      </c>
    </row>
    <row r="6" spans="2:3" ht="15">
      <c r="B6" s="31" t="s">
        <v>73</v>
      </c>
      <c r="C6" s="36">
        <f>Standards!G4</f>
        <v>365</v>
      </c>
    </row>
    <row r="7" spans="2:3" ht="15">
      <c r="B7" s="30" t="s">
        <v>74</v>
      </c>
      <c r="C7" s="36">
        <f>Standards!H4</f>
        <v>50.68</v>
      </c>
    </row>
    <row r="8" ht="15">
      <c r="A8" s="34" t="s">
        <v>75</v>
      </c>
    </row>
    <row r="9" spans="1:3" ht="15">
      <c r="A9" s="37" t="s">
        <v>76</v>
      </c>
      <c r="B9" s="31" t="s">
        <v>77</v>
      </c>
      <c r="C9" s="38">
        <f>Number_of_livestock*N_Excretion*(365-Housed_period__days)/365*(100-excreta_on_yards)/100</f>
        <v>0</v>
      </c>
    </row>
    <row r="10" spans="1:3" ht="15">
      <c r="A10" s="37" t="s">
        <v>78</v>
      </c>
      <c r="B10" s="31" t="s">
        <v>79</v>
      </c>
      <c r="C10" s="38">
        <f>Number_of_livestock*N_Excretion*excreta_on_yards/100</f>
        <v>20695.6848</v>
      </c>
    </row>
    <row r="11" spans="1:3" ht="15">
      <c r="A11" s="37" t="s">
        <v>80</v>
      </c>
      <c r="B11" s="31" t="s">
        <v>81</v>
      </c>
      <c r="C11" s="38">
        <f>C3*C4*(C6/365)*(100-C7)/100</f>
        <v>20140.3152</v>
      </c>
    </row>
    <row r="12" spans="1:3" ht="15">
      <c r="A12" s="30" t="s">
        <v>82</v>
      </c>
      <c r="C12" s="38">
        <f>m_yard+m_graz+m_hous</f>
        <v>40836</v>
      </c>
    </row>
    <row r="13" spans="1:3" ht="15">
      <c r="A13" s="39" t="s">
        <v>83</v>
      </c>
      <c r="B13" s="39"/>
      <c r="C13" s="40">
        <f>(C3*C4)-C12</f>
        <v>0</v>
      </c>
    </row>
    <row r="14" ht="15"/>
    <row r="15" spans="1:8" s="33" customFormat="1" ht="18.75" customHeight="1">
      <c r="A15" s="226" t="s">
        <v>84</v>
      </c>
      <c r="B15" s="226"/>
      <c r="C15" s="226"/>
      <c r="D15" s="226"/>
      <c r="E15" s="226"/>
      <c r="F15" s="226"/>
      <c r="G15" s="226"/>
      <c r="H15" s="41"/>
    </row>
    <row r="16" ht="15">
      <c r="A16" s="34" t="s">
        <v>85</v>
      </c>
    </row>
    <row r="17" spans="1:5" ht="15">
      <c r="A17" s="42" t="s">
        <v>86</v>
      </c>
      <c r="B17" s="31" t="s">
        <v>87</v>
      </c>
      <c r="C17" s="38">
        <f>C9*$C$5/100</f>
        <v>0</v>
      </c>
      <c r="D17" s="31" t="s">
        <v>77</v>
      </c>
      <c r="E17" s="38">
        <f>m_graz</f>
        <v>0</v>
      </c>
    </row>
    <row r="18" spans="1:5" ht="15">
      <c r="A18" s="42" t="s">
        <v>88</v>
      </c>
      <c r="B18" s="31" t="s">
        <v>89</v>
      </c>
      <c r="C18" s="38">
        <f>C10*$C$5/100</f>
        <v>12417.41088</v>
      </c>
      <c r="D18" s="31" t="s">
        <v>79</v>
      </c>
      <c r="E18" s="38">
        <f>m_yard</f>
        <v>20695.6848</v>
      </c>
    </row>
    <row r="19" spans="1:5" ht="15">
      <c r="A19" s="42" t="s">
        <v>90</v>
      </c>
      <c r="B19" s="31" t="s">
        <v>91</v>
      </c>
      <c r="C19" s="38">
        <f>C11*$C$5/100</f>
        <v>12084.189120000001</v>
      </c>
      <c r="D19" s="31" t="s">
        <v>81</v>
      </c>
      <c r="E19" s="38">
        <f>m_hous</f>
        <v>20140.3152</v>
      </c>
    </row>
    <row r="20" spans="1:5" ht="15">
      <c r="A20" s="30" t="s">
        <v>82</v>
      </c>
      <c r="C20" s="38">
        <f>C18+C17+C19</f>
        <v>24501.6</v>
      </c>
      <c r="D20" s="43"/>
      <c r="E20" s="38">
        <f>E18+E17+E19</f>
        <v>40836</v>
      </c>
    </row>
    <row r="21" spans="1:5" ht="15">
      <c r="A21" s="39" t="s">
        <v>83</v>
      </c>
      <c r="C21" s="40">
        <f>(C12*C5/100)-C20</f>
        <v>0</v>
      </c>
      <c r="D21" s="44"/>
      <c r="E21" s="40">
        <f>C12-E20</f>
        <v>0</v>
      </c>
    </row>
    <row r="22" spans="1:14" s="33" customFormat="1" ht="12.75" customHeight="1">
      <c r="A22" s="226" t="s">
        <v>92</v>
      </c>
      <c r="B22" s="226"/>
      <c r="C22" s="226"/>
      <c r="D22" s="226"/>
      <c r="E22" s="226"/>
      <c r="F22" s="226"/>
      <c r="G22" s="226"/>
      <c r="H22" s="45"/>
      <c r="I22" s="46"/>
      <c r="J22" s="46"/>
      <c r="K22" s="46"/>
      <c r="L22" s="46"/>
      <c r="M22" s="46"/>
      <c r="N22" s="46"/>
    </row>
    <row r="23" spans="1:14" ht="15">
      <c r="A23" s="34" t="s">
        <v>85</v>
      </c>
      <c r="H23" s="47"/>
      <c r="I23" s="47"/>
      <c r="J23" s="47"/>
      <c r="K23" s="48"/>
      <c r="L23" s="47"/>
      <c r="M23" s="48"/>
      <c r="N23" s="49"/>
    </row>
    <row r="24" spans="2:14" ht="57">
      <c r="B24" s="30" t="s">
        <v>93</v>
      </c>
      <c r="C24" s="50">
        <v>12.1</v>
      </c>
      <c r="D24" s="51" t="s">
        <v>94</v>
      </c>
      <c r="H24" s="145" t="s">
        <v>226</v>
      </c>
      <c r="I24" s="146" t="s">
        <v>227</v>
      </c>
      <c r="J24" s="49"/>
      <c r="K24" s="49"/>
      <c r="L24" s="49"/>
      <c r="M24" s="44"/>
      <c r="N24" s="52"/>
    </row>
    <row r="25" spans="2:14" ht="57.75">
      <c r="B25" s="30" t="s">
        <v>95</v>
      </c>
      <c r="C25" s="44">
        <v>87.9</v>
      </c>
      <c r="D25" s="51" t="s">
        <v>96</v>
      </c>
      <c r="H25" s="147">
        <f>0.29*100/0.33</f>
        <v>87.87878787878786</v>
      </c>
      <c r="I25" s="148">
        <f>100-H25</f>
        <v>12.121212121212139</v>
      </c>
      <c r="J25" s="49"/>
      <c r="K25" s="49"/>
      <c r="L25" s="49"/>
      <c r="M25" s="44"/>
      <c r="N25" s="52"/>
    </row>
    <row r="26" spans="1:14" ht="15">
      <c r="A26" s="34" t="s">
        <v>75</v>
      </c>
      <c r="H26" s="53"/>
      <c r="I26" s="54"/>
      <c r="J26" s="55"/>
      <c r="K26" s="55"/>
      <c r="L26" s="54"/>
      <c r="M26" s="44"/>
      <c r="N26" s="52"/>
    </row>
    <row r="27" spans="1:14" ht="30.75">
      <c r="A27" s="37" t="s">
        <v>97</v>
      </c>
      <c r="B27" s="56" t="s">
        <v>98</v>
      </c>
      <c r="C27" s="57">
        <f>C19*C24/100</f>
        <v>1462.18688352</v>
      </c>
      <c r="D27" s="37" t="s">
        <v>99</v>
      </c>
      <c r="E27" s="56" t="s">
        <v>100</v>
      </c>
      <c r="F27" s="57">
        <f>E19*C24/100</f>
        <v>2436.9781392</v>
      </c>
      <c r="H27" s="53"/>
      <c r="I27" s="54"/>
      <c r="J27" s="55"/>
      <c r="K27" s="55"/>
      <c r="L27" s="54"/>
      <c r="M27" s="54"/>
      <c r="N27" s="52"/>
    </row>
    <row r="28" spans="1:14" ht="30.75">
      <c r="A28" s="37" t="s">
        <v>101</v>
      </c>
      <c r="B28" s="56" t="s">
        <v>102</v>
      </c>
      <c r="C28" s="57">
        <f>C19*C25/100</f>
        <v>10622.00223648</v>
      </c>
      <c r="D28" s="37" t="s">
        <v>103</v>
      </c>
      <c r="E28" s="56" t="s">
        <v>104</v>
      </c>
      <c r="F28" s="57">
        <f>E19*C25/100</f>
        <v>17703.3370608</v>
      </c>
      <c r="H28" s="53"/>
      <c r="I28" s="54"/>
      <c r="J28" s="49"/>
      <c r="K28" s="49"/>
      <c r="L28" s="49"/>
      <c r="M28" s="44"/>
      <c r="N28" s="52"/>
    </row>
    <row r="29" spans="1:14" ht="15">
      <c r="A29" s="30" t="s">
        <v>82</v>
      </c>
      <c r="B29" s="43"/>
      <c r="C29" s="58">
        <f>C28+C27</f>
        <v>12084.189120000001</v>
      </c>
      <c r="D29" s="43" t="s">
        <v>105</v>
      </c>
      <c r="F29" s="58">
        <f>F28+F27</f>
        <v>20140.3152</v>
      </c>
      <c r="H29" s="53"/>
      <c r="I29" s="54"/>
      <c r="J29" s="49"/>
      <c r="K29" s="49"/>
      <c r="L29" s="49"/>
      <c r="M29" s="44"/>
      <c r="N29" s="52"/>
    </row>
    <row r="30" spans="1:14" ht="15">
      <c r="A30" s="39" t="s">
        <v>83</v>
      </c>
      <c r="C30" s="40">
        <f>C19-C29</f>
        <v>0</v>
      </c>
      <c r="D30" s="59"/>
      <c r="E30" s="59"/>
      <c r="F30" s="40">
        <f>E19-F29</f>
        <v>0</v>
      </c>
      <c r="H30" s="53"/>
      <c r="I30" s="54"/>
      <c r="J30" s="49"/>
      <c r="K30" s="49"/>
      <c r="L30" s="49"/>
      <c r="M30" s="44"/>
      <c r="N30" s="52"/>
    </row>
    <row r="31" spans="1:14" ht="15">
      <c r="A31" s="60"/>
      <c r="H31" s="53"/>
      <c r="I31" s="54"/>
      <c r="J31" s="49"/>
      <c r="K31" s="49"/>
      <c r="L31" s="49"/>
      <c r="M31" s="44"/>
      <c r="N31" s="52"/>
    </row>
    <row r="32" spans="1:14" s="33" customFormat="1" ht="12.75" customHeight="1">
      <c r="A32" s="226" t="s">
        <v>106</v>
      </c>
      <c r="B32" s="226"/>
      <c r="C32" s="226"/>
      <c r="D32" s="226"/>
      <c r="E32" s="226"/>
      <c r="F32" s="226"/>
      <c r="G32" s="226"/>
      <c r="H32" s="45"/>
      <c r="I32" s="61"/>
      <c r="J32" s="62"/>
      <c r="K32" s="62"/>
      <c r="L32" s="63"/>
      <c r="M32" s="63"/>
      <c r="N32" s="63"/>
    </row>
    <row r="33" spans="1:14" ht="15">
      <c r="A33" s="34" t="s">
        <v>75</v>
      </c>
      <c r="H33" s="53"/>
      <c r="I33" s="44"/>
      <c r="J33" s="44"/>
      <c r="K33" s="44"/>
      <c r="L33" s="44"/>
      <c r="M33" s="44"/>
      <c r="N33" s="64"/>
    </row>
    <row r="34" spans="1:14" ht="18.75">
      <c r="A34" s="37" t="s">
        <v>107</v>
      </c>
      <c r="B34" s="56" t="s">
        <v>108</v>
      </c>
      <c r="C34" s="65">
        <f>C27*Standards!J4</f>
        <v>292.43737670400003</v>
      </c>
      <c r="H34" s="53"/>
      <c r="I34" s="44"/>
      <c r="J34" s="44"/>
      <c r="K34" s="44"/>
      <c r="L34" s="44"/>
      <c r="M34" s="44"/>
      <c r="N34" s="44"/>
    </row>
    <row r="35" spans="1:3" ht="18.75">
      <c r="A35" s="37" t="s">
        <v>109</v>
      </c>
      <c r="B35" s="56" t="s">
        <v>110</v>
      </c>
      <c r="C35" s="65">
        <f>C28*Standards!K4</f>
        <v>2018.1804249312002</v>
      </c>
    </row>
    <row r="36" spans="1:3" ht="18.75">
      <c r="A36" s="37" t="s">
        <v>111</v>
      </c>
      <c r="B36" s="56" t="s">
        <v>112</v>
      </c>
      <c r="C36" s="65">
        <f>C18*Standards!L4</f>
        <v>6581.2277664</v>
      </c>
    </row>
    <row r="37" ht="15">
      <c r="C37" s="43"/>
    </row>
    <row r="38" spans="1:7" ht="12.75" customHeight="1">
      <c r="A38" s="226" t="s">
        <v>113</v>
      </c>
      <c r="B38" s="226"/>
      <c r="C38" s="226"/>
      <c r="D38" s="226"/>
      <c r="E38" s="226"/>
      <c r="F38" s="226"/>
      <c r="G38" s="226"/>
    </row>
    <row r="39" ht="15">
      <c r="A39" s="34" t="s">
        <v>85</v>
      </c>
    </row>
    <row r="40" spans="2:3" ht="15">
      <c r="B40" s="30" t="s">
        <v>114</v>
      </c>
      <c r="C40" s="36">
        <f>Number_of_livestock*Standards!E4*C25/100</f>
        <v>437742</v>
      </c>
    </row>
    <row r="41" spans="2:3" ht="18">
      <c r="B41" s="66" t="s">
        <v>115</v>
      </c>
      <c r="C41" s="36">
        <f>Number_of_livestock*Standards!F4*C25/100</f>
        <v>1750.968</v>
      </c>
    </row>
    <row r="42" spans="2:3" ht="18.75">
      <c r="B42" s="56" t="s">
        <v>116</v>
      </c>
      <c r="C42" s="44">
        <v>0.0067</v>
      </c>
    </row>
    <row r="43" ht="15">
      <c r="B43" s="56"/>
    </row>
    <row r="44" spans="1:2" ht="15">
      <c r="A44" s="34" t="s">
        <v>75</v>
      </c>
      <c r="B44" s="56"/>
    </row>
    <row r="45" spans="1:5" ht="18.75">
      <c r="A45" s="37" t="s">
        <v>117</v>
      </c>
      <c r="B45" s="56" t="s">
        <v>118</v>
      </c>
      <c r="C45" s="57">
        <f>C28-(C35+(C40*C42))</f>
        <v>5670.950411548801</v>
      </c>
      <c r="E45" s="67"/>
    </row>
    <row r="46" spans="1:3" ht="18.75">
      <c r="A46" s="42" t="s">
        <v>119</v>
      </c>
      <c r="B46" s="56" t="s">
        <v>120</v>
      </c>
      <c r="C46" s="57">
        <f>F28-C35+C41</f>
        <v>17436.1246358688</v>
      </c>
    </row>
    <row r="47" spans="1:5" ht="15">
      <c r="A47" s="68" t="s">
        <v>83</v>
      </c>
      <c r="C47" s="69">
        <f>(C41+C11*C25/100)-(C35+C46)</f>
        <v>0</v>
      </c>
      <c r="D47" s="70"/>
      <c r="E47" s="71"/>
    </row>
    <row r="48" ht="15">
      <c r="A48" s="31"/>
    </row>
    <row r="49" spans="1:7" ht="12.75" customHeight="1">
      <c r="A49" s="227" t="s">
        <v>121</v>
      </c>
      <c r="B49" s="227"/>
      <c r="C49" s="227"/>
      <c r="D49" s="227"/>
      <c r="E49" s="227"/>
      <c r="F49" s="227"/>
      <c r="G49" s="227"/>
    </row>
    <row r="50" spans="2:8" ht="18.75">
      <c r="B50" s="56" t="s">
        <v>122</v>
      </c>
      <c r="C50" s="50">
        <v>0.121</v>
      </c>
      <c r="E50" s="228" t="s">
        <v>123</v>
      </c>
      <c r="G50" s="72"/>
      <c r="H50" s="53"/>
    </row>
    <row r="51" spans="2:8" ht="18.75">
      <c r="B51" s="56" t="s">
        <v>124</v>
      </c>
      <c r="C51" s="50">
        <v>0.879</v>
      </c>
      <c r="E51" s="228"/>
      <c r="G51" s="72"/>
      <c r="H51" s="53"/>
    </row>
    <row r="52" spans="1:8" ht="15">
      <c r="A52" s="34" t="s">
        <v>75</v>
      </c>
      <c r="B52" s="73"/>
      <c r="C52" s="44"/>
      <c r="G52" s="72"/>
      <c r="H52" s="53"/>
    </row>
    <row r="53" spans="1:8" ht="18.75">
      <c r="A53" s="37" t="s">
        <v>125</v>
      </c>
      <c r="B53" s="56" t="s">
        <v>126</v>
      </c>
      <c r="C53" s="57">
        <f>((C27+C18)-(C34+C36))*C50</f>
        <v>847.7178470703359</v>
      </c>
      <c r="G53" s="72"/>
      <c r="H53" s="53"/>
    </row>
    <row r="54" spans="1:7" ht="18.75">
      <c r="A54" s="42" t="s">
        <v>127</v>
      </c>
      <c r="B54" s="56" t="s">
        <v>128</v>
      </c>
      <c r="C54" s="57">
        <f>((F27-C34)+(E18-C36))*C50</f>
        <v>1967.3387333276157</v>
      </c>
      <c r="G54" s="74"/>
    </row>
    <row r="55" spans="1:7" ht="18.75">
      <c r="A55" s="37" t="s">
        <v>129</v>
      </c>
      <c r="B55" s="56" t="s">
        <v>130</v>
      </c>
      <c r="C55" s="57">
        <f>C45*C51</f>
        <v>4984.765411751396</v>
      </c>
      <c r="G55" s="74"/>
    </row>
    <row r="56" spans="1:7" ht="18.75">
      <c r="A56" s="42" t="s">
        <v>131</v>
      </c>
      <c r="B56" s="56" t="s">
        <v>132</v>
      </c>
      <c r="C56" s="57">
        <f>C46*C51</f>
        <v>15326.353554928675</v>
      </c>
      <c r="G56" s="74"/>
    </row>
    <row r="57" spans="1:7" ht="15">
      <c r="A57" s="44"/>
      <c r="B57" s="56"/>
      <c r="C57" s="57"/>
      <c r="G57" s="74"/>
    </row>
    <row r="58" spans="1:7" ht="57.75">
      <c r="A58" s="73" t="s">
        <v>133</v>
      </c>
      <c r="B58" s="56"/>
      <c r="C58" s="57"/>
      <c r="G58" s="74"/>
    </row>
    <row r="59" spans="1:7" ht="18.75">
      <c r="A59" s="37" t="s">
        <v>134</v>
      </c>
      <c r="B59" s="56" t="s">
        <v>135</v>
      </c>
      <c r="C59" s="57">
        <f>((C27+C18)-(C34+C36))*(1-C50)</f>
        <v>6158.214773345664</v>
      </c>
      <c r="G59" s="74"/>
    </row>
    <row r="60" spans="1:7" ht="18.75">
      <c r="A60" s="42" t="s">
        <v>136</v>
      </c>
      <c r="B60" s="56" t="s">
        <v>137</v>
      </c>
      <c r="C60" s="57">
        <f>((F27-C34)+(E18-C36))*(1-C50)</f>
        <v>14291.659062768384</v>
      </c>
      <c r="G60" s="74"/>
    </row>
    <row r="61" spans="1:7" ht="18.75">
      <c r="A61" s="37" t="s">
        <v>138</v>
      </c>
      <c r="B61" s="56" t="s">
        <v>139</v>
      </c>
      <c r="C61" s="57">
        <f>C45*(1-C51)</f>
        <v>686.1849997974049</v>
      </c>
      <c r="G61" s="74"/>
    </row>
    <row r="62" spans="1:7" ht="18.75">
      <c r="A62" s="42" t="s">
        <v>140</v>
      </c>
      <c r="B62" s="56" t="s">
        <v>141</v>
      </c>
      <c r="C62" s="57">
        <f>C46*(1-C51)</f>
        <v>2109.7710809401246</v>
      </c>
      <c r="G62" s="74"/>
    </row>
    <row r="63" spans="1:7" ht="15">
      <c r="A63" s="44"/>
      <c r="B63" s="56"/>
      <c r="C63" s="57"/>
      <c r="G63" s="74"/>
    </row>
    <row r="64" spans="1:8" s="33" customFormat="1" ht="12.75" customHeight="1">
      <c r="A64" s="226" t="s">
        <v>142</v>
      </c>
      <c r="B64" s="226"/>
      <c r="C64" s="226"/>
      <c r="D64" s="226"/>
      <c r="E64" s="226"/>
      <c r="F64" s="226"/>
      <c r="G64" s="226"/>
      <c r="H64" s="41"/>
    </row>
    <row r="65" ht="15">
      <c r="A65" s="34" t="s">
        <v>85</v>
      </c>
    </row>
    <row r="66" spans="2:4" ht="18.75">
      <c r="B66" s="31" t="s">
        <v>143</v>
      </c>
      <c r="C66" s="44">
        <v>0.1</v>
      </c>
      <c r="D66" s="31" t="s">
        <v>144</v>
      </c>
    </row>
    <row r="68" spans="1:7" ht="15">
      <c r="A68" s="34" t="s">
        <v>75</v>
      </c>
      <c r="G68" s="68"/>
    </row>
    <row r="69" spans="1:3" ht="18.75">
      <c r="A69" s="37" t="s">
        <v>145</v>
      </c>
      <c r="B69" s="56" t="s">
        <v>146</v>
      </c>
      <c r="C69" s="75">
        <f>C53+((C54-C53)*C66)</f>
        <v>959.6799356960639</v>
      </c>
    </row>
    <row r="70" spans="2:3" ht="15">
      <c r="B70" s="56"/>
      <c r="C70" s="43"/>
    </row>
    <row r="71" spans="1:8" s="33" customFormat="1" ht="12.75" customHeight="1">
      <c r="A71" s="226" t="s">
        <v>147</v>
      </c>
      <c r="B71" s="226"/>
      <c r="C71" s="226"/>
      <c r="D71" s="226"/>
      <c r="E71" s="226"/>
      <c r="F71" s="226"/>
      <c r="G71" s="226"/>
      <c r="H71" s="41"/>
    </row>
    <row r="73" ht="15">
      <c r="A73" s="34" t="s">
        <v>75</v>
      </c>
    </row>
    <row r="74" spans="1:3" ht="18.75">
      <c r="A74" s="37" t="s">
        <v>148</v>
      </c>
      <c r="B74" s="56" t="s">
        <v>149</v>
      </c>
      <c r="C74" s="76">
        <f>$C$69*Standards!M4</f>
        <v>191.93598713921278</v>
      </c>
    </row>
    <row r="75" spans="1:3" ht="18.75">
      <c r="A75" s="37" t="s">
        <v>148</v>
      </c>
      <c r="B75" s="56" t="s">
        <v>150</v>
      </c>
      <c r="C75" s="76">
        <f>$C$69*Standards!O4</f>
        <v>9.59679935696064</v>
      </c>
    </row>
    <row r="76" spans="1:3" ht="18.75">
      <c r="A76" s="37" t="s">
        <v>148</v>
      </c>
      <c r="B76" s="56" t="s">
        <v>151</v>
      </c>
      <c r="C76" s="76">
        <f>$C$69*Standards!Q4</f>
        <v>0.09596799356960639</v>
      </c>
    </row>
    <row r="77" spans="1:3" ht="18.75">
      <c r="A77" s="37" t="s">
        <v>148</v>
      </c>
      <c r="B77" s="56" t="s">
        <v>152</v>
      </c>
      <c r="C77" s="76">
        <f>$C$69*Standards!S4</f>
        <v>2.879039807088192</v>
      </c>
    </row>
    <row r="78" spans="1:3" ht="18.75">
      <c r="A78" s="37" t="s">
        <v>153</v>
      </c>
      <c r="B78" s="56" t="s">
        <v>154</v>
      </c>
      <c r="C78" s="76">
        <f>$C$55*Standards!N4</f>
        <v>1345.886661172877</v>
      </c>
    </row>
    <row r="79" spans="1:3" ht="18.75">
      <c r="A79" s="37" t="s">
        <v>153</v>
      </c>
      <c r="B79" s="56" t="s">
        <v>155</v>
      </c>
      <c r="C79" s="76">
        <f>$C$55*Standards!P4</f>
        <v>99.69530823502792</v>
      </c>
    </row>
    <row r="80" spans="1:3" ht="18.75">
      <c r="A80" s="37" t="s">
        <v>153</v>
      </c>
      <c r="B80" s="56" t="s">
        <v>156</v>
      </c>
      <c r="C80" s="76">
        <f>$C$55*Standards!R4</f>
        <v>49.84765411751396</v>
      </c>
    </row>
    <row r="81" spans="1:3" ht="18.75">
      <c r="A81" s="37" t="s">
        <v>153</v>
      </c>
      <c r="B81" s="56" t="s">
        <v>157</v>
      </c>
      <c r="C81" s="76">
        <f>$C$55*Standards!T4</f>
        <v>1495.4296235254187</v>
      </c>
    </row>
    <row r="84" spans="1:7" ht="12.75" customHeight="1">
      <c r="A84" s="227" t="s">
        <v>158</v>
      </c>
      <c r="B84" s="227"/>
      <c r="C84" s="227"/>
      <c r="D84" s="227"/>
      <c r="E84" s="227"/>
      <c r="F84" s="227"/>
      <c r="G84" s="227"/>
    </row>
    <row r="85" spans="1:9" ht="15">
      <c r="A85" s="34" t="s">
        <v>75</v>
      </c>
      <c r="D85" s="77" t="s">
        <v>159</v>
      </c>
      <c r="F85" s="44"/>
      <c r="G85" s="77" t="s">
        <v>159</v>
      </c>
      <c r="I85" s="44"/>
    </row>
    <row r="86" spans="1:9" ht="18.75">
      <c r="A86" s="37" t="s">
        <v>160</v>
      </c>
      <c r="B86" s="56" t="s">
        <v>161</v>
      </c>
      <c r="C86" s="67">
        <f>(C59+C69)-(C74+C75+C76+C77)</f>
        <v>6913.386914744897</v>
      </c>
      <c r="D86" s="78">
        <f>C86*100/C87</f>
        <v>43.06201513701238</v>
      </c>
      <c r="F86" s="57">
        <f>(C27+C18+((C54-C53)*C66))-(C34+C36+C74+C75+C76+C77)</f>
        <v>6913.386914744897</v>
      </c>
      <c r="G86" s="78">
        <f>F86*100/F87</f>
        <v>43.062015137012374</v>
      </c>
      <c r="I86" s="44"/>
    </row>
    <row r="87" spans="1:9" ht="18.75">
      <c r="A87" s="42" t="s">
        <v>162</v>
      </c>
      <c r="B87" s="56" t="s">
        <v>163</v>
      </c>
      <c r="C87" s="67">
        <f>(C60+C54)-(C74+C75+C76+C77)</f>
        <v>16054.490001799168</v>
      </c>
      <c r="D87" s="79"/>
      <c r="E87" s="56"/>
      <c r="F87" s="57">
        <f>(F27+E18)-(C34+C36+C74+C75+C76+C77)</f>
        <v>16054.49000179917</v>
      </c>
      <c r="G87" s="78"/>
      <c r="I87" s="44"/>
    </row>
    <row r="88" spans="1:9" ht="18.75">
      <c r="A88" s="37" t="s">
        <v>164</v>
      </c>
      <c r="B88" s="56" t="s">
        <v>165</v>
      </c>
      <c r="C88" s="76">
        <f>$C$55*Standards!U4</f>
        <v>0</v>
      </c>
      <c r="I88" s="44"/>
    </row>
    <row r="89" spans="1:9" ht="18.75">
      <c r="A89" s="37" t="s">
        <v>166</v>
      </c>
      <c r="B89" s="56" t="s">
        <v>167</v>
      </c>
      <c r="C89" s="67">
        <f>(C55+C61)-(C78+C79+C80+C81+C88)</f>
        <v>2680.0911644979633</v>
      </c>
      <c r="D89" s="78">
        <f>IF(C89=0,0,C89*100/C90)</f>
        <v>18.553422816119486</v>
      </c>
      <c r="F89" s="67">
        <f>C45-(C78+C79+C80+C81+C88)</f>
        <v>2680.0911644979633</v>
      </c>
      <c r="G89" s="80">
        <f>IF(F89=0,0,F89*100/(F90))</f>
        <v>18.553422816119486</v>
      </c>
      <c r="I89" s="44"/>
    </row>
    <row r="90" spans="1:9" ht="18.75">
      <c r="A90" s="42" t="s">
        <v>168</v>
      </c>
      <c r="B90" s="56" t="s">
        <v>169</v>
      </c>
      <c r="C90" s="67">
        <f>(C56+C62)-(C78+C79+C80+C81+C88)</f>
        <v>14445.265388817963</v>
      </c>
      <c r="E90" s="56"/>
      <c r="F90" s="67">
        <f>C46-(C78+C79+C80+C81+C88)</f>
        <v>14445.265388817963</v>
      </c>
      <c r="G90" s="81"/>
      <c r="I90" s="44"/>
    </row>
    <row r="91" spans="1:8" s="69" customFormat="1" ht="15">
      <c r="A91" s="82" t="s">
        <v>83</v>
      </c>
      <c r="B91" s="83" t="s">
        <v>170</v>
      </c>
      <c r="C91" s="40">
        <f>((C69+(((C18+C27)-(C34+C36))*(1-C50)))-(C74+C75+C76+C77))-F86</f>
        <v>0</v>
      </c>
      <c r="D91" s="40"/>
      <c r="E91" s="84"/>
      <c r="F91" s="40">
        <f>((E18+(E19*C24/100))-(C34+C36+C74+C75+C76+C77))-F87</f>
        <v>0</v>
      </c>
      <c r="G91" s="59"/>
      <c r="H91" s="85"/>
    </row>
    <row r="92" spans="1:9" s="87" customFormat="1" ht="15">
      <c r="A92" s="60"/>
      <c r="B92" s="86" t="s">
        <v>171</v>
      </c>
      <c r="C92" s="40">
        <f>(C28-((C40*C42)+C35+C78+C79+C80+C81+C88))-F89</f>
        <v>0</v>
      </c>
      <c r="D92" s="74"/>
      <c r="E92" s="74"/>
      <c r="F92" s="40">
        <f>(F28+C41)-(C35+C78+C79+C80+C81+C88)-F90</f>
        <v>0</v>
      </c>
      <c r="H92" s="60"/>
      <c r="I92" s="88"/>
    </row>
    <row r="93" ht="15">
      <c r="I93" s="44"/>
    </row>
    <row r="94" spans="1:9" ht="12.75" customHeight="1">
      <c r="A94" s="227" t="s">
        <v>172</v>
      </c>
      <c r="B94" s="227"/>
      <c r="C94" s="227"/>
      <c r="D94" s="227"/>
      <c r="E94" s="227"/>
      <c r="F94" s="227"/>
      <c r="G94" s="227"/>
      <c r="I94" s="44"/>
    </row>
    <row r="95" ht="15">
      <c r="A95" s="34" t="s">
        <v>75</v>
      </c>
    </row>
    <row r="96" spans="1:3" ht="19.5">
      <c r="A96" s="42" t="s">
        <v>173</v>
      </c>
      <c r="B96" s="89" t="s">
        <v>174</v>
      </c>
      <c r="C96" s="90">
        <f>F86*Standards!V4</f>
        <v>3802.3628031096937</v>
      </c>
    </row>
    <row r="97" spans="1:3" ht="19.5">
      <c r="A97" s="42" t="s">
        <v>175</v>
      </c>
      <c r="B97" s="89" t="s">
        <v>176</v>
      </c>
      <c r="C97" s="90">
        <f>F89*Standards!W4</f>
        <v>2117.272019953391</v>
      </c>
    </row>
    <row r="98" ht="15">
      <c r="A98" s="31"/>
    </row>
    <row r="100" spans="1:7" ht="12.75" customHeight="1">
      <c r="A100" s="227" t="s">
        <v>177</v>
      </c>
      <c r="B100" s="227"/>
      <c r="C100" s="227"/>
      <c r="D100" s="227"/>
      <c r="E100" s="227"/>
      <c r="F100" s="227"/>
      <c r="G100" s="227"/>
    </row>
    <row r="101" ht="15">
      <c r="A101" s="34" t="s">
        <v>75</v>
      </c>
    </row>
    <row r="102" spans="1:3" ht="18.75">
      <c r="A102" s="37" t="s">
        <v>178</v>
      </c>
      <c r="B102" s="56" t="s">
        <v>179</v>
      </c>
      <c r="C102" s="43">
        <f>F86-C96</f>
        <v>3111.024111635203</v>
      </c>
    </row>
    <row r="103" spans="1:6" ht="18.75">
      <c r="A103" s="42" t="s">
        <v>180</v>
      </c>
      <c r="B103" s="56" t="s">
        <v>181</v>
      </c>
      <c r="C103" s="58">
        <f>F87-C96</f>
        <v>12252.127198689475</v>
      </c>
      <c r="E103" s="56"/>
      <c r="F103" s="43"/>
    </row>
    <row r="104" spans="1:3" ht="18.75">
      <c r="A104" s="37" t="s">
        <v>182</v>
      </c>
      <c r="B104" s="56" t="s">
        <v>183</v>
      </c>
      <c r="C104" s="58">
        <f>F89-C97</f>
        <v>562.8191445445723</v>
      </c>
    </row>
    <row r="105" spans="1:3" ht="18.75">
      <c r="A105" s="42" t="s">
        <v>184</v>
      </c>
      <c r="B105" s="56" t="s">
        <v>185</v>
      </c>
      <c r="C105" s="58">
        <f>F90-C97</f>
        <v>12327.993368864572</v>
      </c>
    </row>
    <row r="107" spans="1:7" ht="12.75" customHeight="1">
      <c r="A107" s="227" t="s">
        <v>186</v>
      </c>
      <c r="B107" s="227"/>
      <c r="C107" s="227"/>
      <c r="D107" s="227"/>
      <c r="E107" s="227"/>
      <c r="F107" s="227"/>
      <c r="G107" s="227"/>
    </row>
    <row r="108" ht="15">
      <c r="A108" s="34" t="s">
        <v>75</v>
      </c>
    </row>
    <row r="109" spans="1:3" ht="18.75">
      <c r="A109" s="37" t="s">
        <v>187</v>
      </c>
      <c r="B109" s="56" t="s">
        <v>188</v>
      </c>
      <c r="C109" s="91">
        <f>C17*Standards!X4</f>
        <v>0</v>
      </c>
    </row>
    <row r="110" spans="1:6" ht="28.5">
      <c r="A110" s="30" t="s">
        <v>189</v>
      </c>
      <c r="B110" s="31" t="s">
        <v>190</v>
      </c>
      <c r="C110" s="43">
        <f>C17-C109</f>
        <v>0</v>
      </c>
      <c r="E110" s="31" t="s">
        <v>191</v>
      </c>
      <c r="F110" s="58">
        <f>E17-C109</f>
        <v>0</v>
      </c>
    </row>
    <row r="111" spans="1:8" s="68" customFormat="1" ht="15">
      <c r="A111" s="39" t="s">
        <v>83</v>
      </c>
      <c r="C111" s="92">
        <f>C17-C110-C109</f>
        <v>0</v>
      </c>
      <c r="D111" s="92"/>
      <c r="E111" s="92"/>
      <c r="F111" s="40">
        <f>(E17-C109)-F110</f>
        <v>0</v>
      </c>
      <c r="H111" s="60"/>
    </row>
    <row r="112" ht="15"/>
    <row r="113" spans="1:3" ht="15">
      <c r="A113" s="31" t="s">
        <v>192</v>
      </c>
      <c r="C113" s="93">
        <f>C12+C41</f>
        <v>42586.968</v>
      </c>
    </row>
    <row r="114" spans="1:3" ht="15">
      <c r="A114" s="31" t="s">
        <v>193</v>
      </c>
      <c r="C114" s="93">
        <f>(C34+C35+C36+C74+C75+C76+C77+C78+C79+C80+C81+C88+C96+C97+C109)+(C103+C105+F110)</f>
        <v>42586.96800000001</v>
      </c>
    </row>
    <row r="115" spans="1:3" ht="15">
      <c r="A115" s="39" t="s">
        <v>194</v>
      </c>
      <c r="C115" s="92">
        <f>C113-C114</f>
        <v>0</v>
      </c>
    </row>
    <row r="116" ht="15">
      <c r="C116" s="93"/>
    </row>
    <row r="117" ht="15">
      <c r="C117" s="93"/>
    </row>
  </sheetData>
  <sheetProtection selectLockedCells="1" selectUnlockedCells="1"/>
  <mergeCells count="13">
    <mergeCell ref="A107:G107"/>
    <mergeCell ref="E50:E51"/>
    <mergeCell ref="A64:G64"/>
    <mergeCell ref="A71:G71"/>
    <mergeCell ref="A84:G84"/>
    <mergeCell ref="A94:G94"/>
    <mergeCell ref="A100:G100"/>
    <mergeCell ref="A1:G1"/>
    <mergeCell ref="A15:G15"/>
    <mergeCell ref="A22:G22"/>
    <mergeCell ref="A32:G32"/>
    <mergeCell ref="A38:G38"/>
    <mergeCell ref="A49:G49"/>
  </mergeCells>
  <printOptions/>
  <pageMargins left="0.500277777777778" right="0.1" top="0.629861111111111" bottom="0.629861111111111" header="0.157638888888889" footer="0.511805555555556"/>
  <pageSetup firstPageNumber="49" useFirstPageNumber="1" horizontalDpi="300" verticalDpi="300" orientation="portrait" paperSize="9" r:id="rId3"/>
  <headerFooter alignWithMargins="0">
    <oddHeader xml:space="preserve">&amp;L1_priedas. Amoniako, N2O, NO taršos įvertinimas iš 114 ir 13-2 tvarto (kiti galvijai)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Layout" workbookViewId="0" topLeftCell="A25">
      <selection activeCell="A17" sqref="A17:F17"/>
    </sheetView>
  </sheetViews>
  <sheetFormatPr defaultColWidth="9.140625" defaultRowHeight="12.75"/>
  <cols>
    <col min="1" max="1" width="36.7109375" style="94" customWidth="1"/>
    <col min="2" max="4" width="10.7109375" style="94" customWidth="1"/>
    <col min="5" max="5" width="10.57421875" style="94" customWidth="1"/>
    <col min="6" max="6" width="13.57421875" style="94" customWidth="1"/>
    <col min="7" max="7" width="9.140625" style="94" customWidth="1"/>
  </cols>
  <sheetData>
    <row r="1" spans="1:7" ht="15">
      <c r="A1" s="45" t="s">
        <v>195</v>
      </c>
      <c r="B1" s="46" t="s">
        <v>244</v>
      </c>
      <c r="C1" s="46"/>
      <c r="F1" s="46"/>
      <c r="G1" s="46"/>
    </row>
    <row r="2" spans="1:7" ht="15">
      <c r="A2" s="45"/>
      <c r="B2" s="95" t="s">
        <v>196</v>
      </c>
      <c r="C2" s="95"/>
      <c r="D2" s="95"/>
      <c r="E2" s="95"/>
      <c r="F2" s="46"/>
      <c r="G2" s="46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example'!C34*17/14</f>
        <v>355.10252885485716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example'!C35*17/14</f>
        <v>2450.6476588450287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example'!C36*17/14</f>
        <v>7991.4908592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example'!C74*17/14</f>
        <v>233.06512724047266</v>
      </c>
      <c r="C7" s="107">
        <f>'Dairy example'!C75*44/28</f>
        <v>15.08068470379529</v>
      </c>
      <c r="D7" s="107">
        <f>'Dairy example'!C76*30/14</f>
        <v>0.2056457005062994</v>
      </c>
      <c r="E7" s="104">
        <f>'Dairy example'!C77</f>
        <v>2.879039807088192</v>
      </c>
      <c r="F7" s="106"/>
      <c r="G7" s="103"/>
    </row>
    <row r="8" spans="1:7" ht="22.5" customHeight="1">
      <c r="A8" s="99" t="s">
        <v>207</v>
      </c>
      <c r="B8" s="104">
        <f>'Dairy example'!C78*17/14</f>
        <v>1634.290945709922</v>
      </c>
      <c r="C8" s="107">
        <f>'Dairy example'!C79*44/28</f>
        <v>156.66405579790103</v>
      </c>
      <c r="D8" s="107">
        <f>'Dairy example'!C80*30/14</f>
        <v>106.81640168038707</v>
      </c>
      <c r="E8" s="104">
        <f>'Dairy example'!C81</f>
        <v>1495.4296235254187</v>
      </c>
      <c r="F8" s="104">
        <f>'Dairy example'!C88*62/14</f>
        <v>0</v>
      </c>
      <c r="G8" s="103"/>
    </row>
    <row r="9" spans="1:7" ht="22.5" customHeight="1">
      <c r="A9" s="99" t="s">
        <v>208</v>
      </c>
      <c r="B9" s="104">
        <f>'Dairy example'!C96*17/14</f>
        <v>4617.154832347485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example'!C97*17/14</f>
        <v>2570.9731670862607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example'!C109*17/14</f>
        <v>0</v>
      </c>
      <c r="C11" s="109"/>
      <c r="D11" s="109"/>
      <c r="E11" s="109"/>
      <c r="F11" s="110"/>
      <c r="G11" s="103"/>
    </row>
    <row r="12" spans="1:7" ht="22.5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1"/>
      <c r="B13" s="112"/>
      <c r="C13" s="98"/>
      <c r="D13" s="98"/>
      <c r="E13" s="98"/>
      <c r="F13" s="113"/>
      <c r="G13" s="113"/>
    </row>
    <row r="14" spans="1:7" ht="22.5" customHeight="1">
      <c r="A14" s="114" t="s">
        <v>82</v>
      </c>
      <c r="B14" s="115">
        <f>SUM(B4:B11)</f>
        <v>19852.725119284027</v>
      </c>
      <c r="C14" s="116">
        <f>SUM(C4:C11)</f>
        <v>171.74474050169633</v>
      </c>
      <c r="D14" s="116">
        <f>SUM(D4:D11)</f>
        <v>107.02204738089337</v>
      </c>
      <c r="E14" s="117">
        <f>SUM(E4:E11)</f>
        <v>1498.308663332507</v>
      </c>
      <c r="F14" s="117">
        <f>SUM(F4:F11)</f>
        <v>0</v>
      </c>
      <c r="G14" s="118"/>
    </row>
    <row r="15" spans="1:7" ht="22.5" customHeight="1">
      <c r="A15" s="119"/>
      <c r="B15" s="120"/>
      <c r="C15" s="121"/>
      <c r="D15" s="121"/>
      <c r="E15" s="122"/>
      <c r="F15" s="122"/>
      <c r="G15" s="118"/>
    </row>
    <row r="16" spans="1:6" ht="14.25">
      <c r="A16" s="150" t="s">
        <v>235</v>
      </c>
      <c r="B16" s="151"/>
      <c r="C16" s="152" t="s">
        <v>228</v>
      </c>
      <c r="D16" s="152"/>
      <c r="E16" s="153"/>
      <c r="F16" s="153"/>
    </row>
    <row r="17" spans="1:6" ht="37.5" customHeight="1">
      <c r="A17" s="229" t="s">
        <v>255</v>
      </c>
      <c r="B17" s="229"/>
      <c r="C17" s="229"/>
      <c r="D17" s="229"/>
      <c r="E17" s="229"/>
      <c r="F17" s="229"/>
    </row>
    <row r="18" spans="1:6" ht="14.25">
      <c r="A18" s="154"/>
      <c r="B18" s="222" t="s">
        <v>229</v>
      </c>
      <c r="C18" s="222" t="s">
        <v>230</v>
      </c>
      <c r="D18" s="223" t="s">
        <v>200</v>
      </c>
      <c r="E18" s="156"/>
      <c r="F18" s="155"/>
    </row>
    <row r="19" spans="1:6" ht="15">
      <c r="A19" s="157" t="s">
        <v>206</v>
      </c>
      <c r="B19" s="158">
        <f>B7</f>
        <v>233.06512724047266</v>
      </c>
      <c r="C19" s="158"/>
      <c r="D19" s="158"/>
      <c r="E19" s="158"/>
      <c r="F19" s="159"/>
    </row>
    <row r="20" spans="1:6" ht="31.5">
      <c r="A20" s="160" t="s">
        <v>231</v>
      </c>
      <c r="B20" s="161">
        <f>B19*0.2</f>
        <v>46.61302544809453</v>
      </c>
      <c r="C20" s="162">
        <f>C7</f>
        <v>15.08068470379529</v>
      </c>
      <c r="D20" s="162">
        <f>D7</f>
        <v>0.2056457005062994</v>
      </c>
      <c r="E20" s="159"/>
      <c r="F20" s="159"/>
    </row>
    <row r="21" spans="1:6" ht="61.5">
      <c r="A21" s="160" t="s">
        <v>264</v>
      </c>
      <c r="B21" s="161">
        <f>B20/15</f>
        <v>3.107535029872969</v>
      </c>
      <c r="C21" s="162"/>
      <c r="D21" s="162"/>
      <c r="E21" s="159"/>
      <c r="F21" s="159"/>
    </row>
    <row r="22" spans="1:6" ht="26.25">
      <c r="A22" s="163" t="s">
        <v>211</v>
      </c>
      <c r="B22" s="164">
        <v>365</v>
      </c>
      <c r="C22" s="164">
        <v>365</v>
      </c>
      <c r="D22" s="164">
        <v>365</v>
      </c>
      <c r="E22" s="159"/>
      <c r="F22" s="159"/>
    </row>
    <row r="23" spans="1:6" ht="26.25">
      <c r="A23" s="163" t="s">
        <v>212</v>
      </c>
      <c r="B23" s="164">
        <v>1</v>
      </c>
      <c r="C23" s="164">
        <v>1</v>
      </c>
      <c r="D23" s="164">
        <v>1</v>
      </c>
      <c r="E23" s="159"/>
      <c r="F23" s="159"/>
    </row>
    <row r="24" spans="1:6" ht="15">
      <c r="A24" s="163" t="s">
        <v>232</v>
      </c>
      <c r="B24" s="165">
        <f>B21*1000/B22/24/3600</f>
        <v>9.853928937953352E-05</v>
      </c>
      <c r="C24" s="165">
        <f>C20*1000/C22/24/3600</f>
        <v>0.00047820537493008914</v>
      </c>
      <c r="D24" s="165">
        <f>D20*1000/D22/24/3600</f>
        <v>6.520982385410307E-06</v>
      </c>
      <c r="E24" s="159"/>
      <c r="F24" s="159"/>
    </row>
    <row r="25" spans="1:7" ht="11.25" customHeight="1">
      <c r="A25" s="166"/>
      <c r="B25" s="167"/>
      <c r="C25" s="168"/>
      <c r="D25" s="168"/>
      <c r="E25" s="169"/>
      <c r="F25" s="169"/>
      <c r="G25" s="118"/>
    </row>
    <row r="26" spans="1:7" ht="11.25" customHeight="1">
      <c r="A26" s="119"/>
      <c r="B26" s="120"/>
      <c r="C26" s="121"/>
      <c r="D26" s="121"/>
      <c r="E26" s="122"/>
      <c r="F26" s="122"/>
      <c r="G26" s="118"/>
    </row>
    <row r="27" spans="1:7" ht="11.25" customHeight="1">
      <c r="A27" s="45"/>
      <c r="B27" s="61"/>
      <c r="C27" s="62"/>
      <c r="D27" s="62"/>
      <c r="E27" s="63"/>
      <c r="F27" s="63"/>
      <c r="G27" s="63"/>
    </row>
    <row r="28" spans="1:7" ht="19.5" customHeight="1">
      <c r="A28" s="124" t="s">
        <v>242</v>
      </c>
      <c r="B28" s="61"/>
      <c r="C28" s="62"/>
      <c r="D28" s="62"/>
      <c r="E28" s="63"/>
      <c r="F28" s="63"/>
      <c r="G28" s="63"/>
    </row>
    <row r="29" spans="1:7" ht="15">
      <c r="A29" s="198" t="s">
        <v>263</v>
      </c>
      <c r="B29" s="205" t="s">
        <v>260</v>
      </c>
      <c r="C29" s="125"/>
      <c r="D29" s="125"/>
      <c r="E29" s="126"/>
      <c r="F29" s="126"/>
      <c r="G29" s="63"/>
    </row>
    <row r="30" spans="1:7" ht="15">
      <c r="A30" s="128" t="s">
        <v>233</v>
      </c>
      <c r="B30" s="129">
        <v>498</v>
      </c>
      <c r="C30" s="129">
        <v>498</v>
      </c>
      <c r="D30" s="129">
        <v>498</v>
      </c>
      <c r="E30" s="129">
        <v>498</v>
      </c>
      <c r="F30" s="129">
        <v>498</v>
      </c>
      <c r="G30" s="127"/>
    </row>
    <row r="31" spans="1:7" ht="20.25" customHeight="1">
      <c r="A31" s="128" t="s">
        <v>213</v>
      </c>
      <c r="B31" s="130" t="s">
        <v>214</v>
      </c>
      <c r="C31" s="131" t="s">
        <v>215</v>
      </c>
      <c r="D31" s="131" t="s">
        <v>216</v>
      </c>
      <c r="E31" s="131" t="s">
        <v>217</v>
      </c>
      <c r="F31" s="131" t="s">
        <v>218</v>
      </c>
      <c r="G31" s="127"/>
    </row>
    <row r="32" spans="1:7" ht="16.5">
      <c r="A32" s="128" t="s">
        <v>219</v>
      </c>
      <c r="B32" s="132">
        <v>0.59</v>
      </c>
      <c r="C32" s="131">
        <v>0.27</v>
      </c>
      <c r="D32" s="131">
        <v>0.18</v>
      </c>
      <c r="E32" s="131">
        <v>3.602</v>
      </c>
      <c r="F32" s="131"/>
      <c r="G32" s="127"/>
    </row>
    <row r="33" spans="1:7" ht="72" customHeight="1">
      <c r="A33" s="128" t="s">
        <v>220</v>
      </c>
      <c r="B33" s="133" t="s">
        <v>221</v>
      </c>
      <c r="C33" s="133" t="s">
        <v>221</v>
      </c>
      <c r="D33" s="133" t="s">
        <v>221</v>
      </c>
      <c r="E33" s="133" t="s">
        <v>222</v>
      </c>
      <c r="F33" s="133"/>
      <c r="G33" s="44"/>
    </row>
    <row r="34" spans="1:7" ht="30">
      <c r="A34" s="128" t="s">
        <v>223</v>
      </c>
      <c r="B34" s="131">
        <v>365</v>
      </c>
      <c r="C34" s="131">
        <v>365</v>
      </c>
      <c r="D34" s="131">
        <v>365</v>
      </c>
      <c r="E34" s="131">
        <v>365</v>
      </c>
      <c r="F34" s="131">
        <v>365</v>
      </c>
      <c r="G34" s="64"/>
    </row>
    <row r="35" spans="1:7" ht="30">
      <c r="A35" s="128" t="s">
        <v>224</v>
      </c>
      <c r="B35" s="129">
        <f>1</f>
        <v>1</v>
      </c>
      <c r="C35" s="129">
        <f>1</f>
        <v>1</v>
      </c>
      <c r="D35" s="129">
        <f>1</f>
        <v>1</v>
      </c>
      <c r="E35" s="131">
        <v>1</v>
      </c>
      <c r="F35" s="131">
        <v>1</v>
      </c>
      <c r="G35" s="44"/>
    </row>
    <row r="36" spans="1:6" ht="14.25">
      <c r="A36" s="134" t="s">
        <v>225</v>
      </c>
      <c r="B36" s="149">
        <f>B30*B32*B35</f>
        <v>293.82</v>
      </c>
      <c r="C36" s="149">
        <f>C30*C32*C35</f>
        <v>134.46</v>
      </c>
      <c r="D36" s="135">
        <f>D30*D32*D35</f>
        <v>89.64</v>
      </c>
      <c r="E36" s="135">
        <f>E30*E32*E35</f>
        <v>1793.7959999999998</v>
      </c>
      <c r="F36" s="136">
        <f>(B5+B4)</f>
        <v>2805.750187699886</v>
      </c>
    </row>
    <row r="37" spans="1:6" ht="46.5">
      <c r="A37" s="160" t="s">
        <v>261</v>
      </c>
      <c r="B37" s="149"/>
      <c r="C37" s="149"/>
      <c r="D37" s="135"/>
      <c r="E37" s="135"/>
      <c r="F37" s="136">
        <f>F36/12</f>
        <v>233.81251564165714</v>
      </c>
    </row>
    <row r="38" spans="1:6" ht="15.75">
      <c r="A38" s="206" t="s">
        <v>259</v>
      </c>
      <c r="B38" s="149"/>
      <c r="C38" s="149"/>
      <c r="D38" s="135"/>
      <c r="E38" s="135"/>
      <c r="F38" s="225">
        <f>F37*1000/365/24/3600</f>
        <v>0.007414146234197652</v>
      </c>
    </row>
    <row r="39" spans="1:6" ht="15">
      <c r="A39" s="160"/>
      <c r="B39" s="149"/>
      <c r="C39" s="149"/>
      <c r="D39" s="135"/>
      <c r="E39" s="135"/>
      <c r="F39" s="136"/>
    </row>
    <row r="40" spans="1:6" ht="12.75">
      <c r="A40" s="137"/>
      <c r="B40" s="137"/>
      <c r="C40" s="137"/>
      <c r="D40" s="137"/>
      <c r="E40" s="137"/>
      <c r="F40" s="137"/>
    </row>
    <row r="41" spans="1:6" ht="12.75">
      <c r="A41" s="137" t="s">
        <v>257</v>
      </c>
      <c r="B41" s="137"/>
      <c r="C41" s="137"/>
      <c r="D41" s="137"/>
      <c r="E41" s="137"/>
      <c r="F41" s="137"/>
    </row>
    <row r="42" spans="1:6" ht="12.75">
      <c r="A42" s="137" t="s">
        <v>256</v>
      </c>
      <c r="B42" s="137"/>
      <c r="C42" s="137"/>
      <c r="D42" s="137"/>
      <c r="E42" s="137"/>
      <c r="F42" s="137"/>
    </row>
    <row r="43" spans="1:6" ht="16.5">
      <c r="A43" s="128" t="s">
        <v>213</v>
      </c>
      <c r="B43" s="130" t="s">
        <v>214</v>
      </c>
      <c r="C43" s="131" t="s">
        <v>215</v>
      </c>
      <c r="D43" s="131" t="s">
        <v>216</v>
      </c>
      <c r="E43" s="131" t="s">
        <v>217</v>
      </c>
      <c r="F43" s="131" t="s">
        <v>218</v>
      </c>
    </row>
    <row r="44" spans="1:6" ht="14.25">
      <c r="A44" s="206" t="s">
        <v>258</v>
      </c>
      <c r="B44" s="207">
        <f>B36/2</f>
        <v>146.91</v>
      </c>
      <c r="C44" s="207">
        <f>C36/2</f>
        <v>67.23</v>
      </c>
      <c r="D44" s="207">
        <f>D36/2</f>
        <v>44.82</v>
      </c>
      <c r="E44" s="207">
        <f>E36/2</f>
        <v>896.8979999999999</v>
      </c>
      <c r="F44" s="207">
        <f>F37/2</f>
        <v>116.90625782082857</v>
      </c>
    </row>
    <row r="45" spans="1:6" ht="15.75">
      <c r="A45" s="206" t="s">
        <v>259</v>
      </c>
      <c r="B45" s="209">
        <f>B44*1000/365/24/3600</f>
        <v>0.004658485540334855</v>
      </c>
      <c r="C45" s="209">
        <f>C44*1000/365/24/3600</f>
        <v>0.002131849315068493</v>
      </c>
      <c r="D45" s="209">
        <f>D44*1000/365/24/3600</f>
        <v>0.0014212328767123287</v>
      </c>
      <c r="E45" s="209">
        <f>E44*1000/365/24/3600</f>
        <v>0.028440449010654484</v>
      </c>
      <c r="F45" s="209">
        <f>F44*1000/365/24/3600</f>
        <v>0.003707073117098826</v>
      </c>
    </row>
    <row r="46" spans="1:6" ht="12.75">
      <c r="A46" s="137"/>
      <c r="B46" s="137"/>
      <c r="C46" s="137"/>
      <c r="D46" s="137"/>
      <c r="E46" s="137"/>
      <c r="F46" s="137"/>
    </row>
    <row r="47" ht="11.25" customHeight="1"/>
    <row r="48" spans="1:7" ht="29.25">
      <c r="A48" s="175" t="s">
        <v>236</v>
      </c>
      <c r="B48" s="208">
        <f>B8</f>
        <v>1634.290945709922</v>
      </c>
      <c r="C48" s="174"/>
      <c r="D48" s="138"/>
      <c r="E48" s="123"/>
      <c r="F48" s="123"/>
      <c r="G48" s="27"/>
    </row>
    <row r="49" spans="1:7" ht="46.5">
      <c r="A49" s="214" t="s">
        <v>265</v>
      </c>
      <c r="B49" s="224">
        <f>B48/15</f>
        <v>108.9527297139948</v>
      </c>
      <c r="C49" s="140"/>
      <c r="D49" s="123"/>
      <c r="E49" s="123"/>
      <c r="F49" s="123"/>
      <c r="G49" s="27"/>
    </row>
    <row r="50" spans="1:7" ht="17.25">
      <c r="A50" s="210" t="s">
        <v>237</v>
      </c>
      <c r="B50" s="211">
        <f>C8</f>
        <v>156.66405579790103</v>
      </c>
      <c r="C50" s="141"/>
      <c r="D50" s="170"/>
      <c r="E50" s="123"/>
      <c r="F50" s="123"/>
      <c r="G50" s="27"/>
    </row>
    <row r="51" spans="1:7" ht="17.25">
      <c r="A51" s="212" t="s">
        <v>238</v>
      </c>
      <c r="B51" s="213">
        <f>D8</f>
        <v>106.81640168038707</v>
      </c>
      <c r="C51" s="141"/>
      <c r="D51" s="171"/>
      <c r="E51" s="123"/>
      <c r="F51" s="123"/>
      <c r="G51" s="27"/>
    </row>
    <row r="52" spans="1:7" ht="15.75">
      <c r="A52" s="215" t="s">
        <v>239</v>
      </c>
      <c r="B52" s="216">
        <f>B49*1000/B22/24/3600</f>
        <v>0.0034548683952941024</v>
      </c>
      <c r="C52" s="142"/>
      <c r="D52" s="172"/>
      <c r="E52" s="123"/>
      <c r="F52" s="123"/>
      <c r="G52" s="27"/>
    </row>
    <row r="53" spans="1:7" ht="15.75">
      <c r="A53" s="217" t="s">
        <v>240</v>
      </c>
      <c r="B53" s="218">
        <f>B50*1000/C22/24/3600</f>
        <v>0.004967784620684331</v>
      </c>
      <c r="C53" s="142"/>
      <c r="D53" s="173"/>
      <c r="E53" s="123"/>
      <c r="F53" s="123"/>
      <c r="G53" s="27"/>
    </row>
    <row r="54" spans="1:7" ht="15.75">
      <c r="A54" s="219" t="s">
        <v>241</v>
      </c>
      <c r="B54" s="220">
        <f>B51*1000/D22/24/3600</f>
        <v>0.003387125877739316</v>
      </c>
      <c r="C54" s="142"/>
      <c r="D54" s="173"/>
      <c r="E54" s="123"/>
      <c r="F54" s="123"/>
      <c r="G54" s="27"/>
    </row>
    <row r="57" spans="1:3" ht="30">
      <c r="A57" s="203" t="s">
        <v>245</v>
      </c>
      <c r="B57" s="27"/>
      <c r="C57" s="27"/>
    </row>
    <row r="58" spans="1:3" ht="12.75">
      <c r="A58" s="204" t="s">
        <v>246</v>
      </c>
      <c r="B58" s="198">
        <v>614</v>
      </c>
      <c r="C58" s="198">
        <v>615</v>
      </c>
    </row>
    <row r="59" spans="1:7" s="177" customFormat="1" ht="14.25">
      <c r="A59" s="182" t="s">
        <v>253</v>
      </c>
      <c r="B59" s="179">
        <v>600</v>
      </c>
      <c r="C59" s="179">
        <v>540</v>
      </c>
      <c r="D59" s="176"/>
      <c r="E59" s="176"/>
      <c r="F59" s="176"/>
      <c r="G59" s="176"/>
    </row>
    <row r="60" spans="1:7" s="177" customFormat="1" ht="12.75">
      <c r="A60" s="182" t="s">
        <v>247</v>
      </c>
      <c r="B60" s="230">
        <f>SUM(B59:C59)</f>
        <v>1140</v>
      </c>
      <c r="C60" s="230"/>
      <c r="D60" s="176"/>
      <c r="E60" s="176"/>
      <c r="F60" s="176"/>
      <c r="G60" s="176"/>
    </row>
    <row r="61" spans="1:7" s="177" customFormat="1" ht="14.25">
      <c r="A61" s="199" t="s">
        <v>248</v>
      </c>
      <c r="B61" s="200">
        <f>B59/B60</f>
        <v>0.5263157894736842</v>
      </c>
      <c r="C61" s="200">
        <f>C59/B60</f>
        <v>0.47368421052631576</v>
      </c>
      <c r="D61" s="193"/>
      <c r="E61" s="176"/>
      <c r="F61" s="176"/>
      <c r="G61" s="176"/>
    </row>
    <row r="62" spans="1:7" s="177" customFormat="1" ht="15.75">
      <c r="A62" s="201" t="s">
        <v>250</v>
      </c>
      <c r="B62" s="231">
        <f>B6</f>
        <v>7991.4908592</v>
      </c>
      <c r="C62" s="231"/>
      <c r="D62" s="194"/>
      <c r="E62" s="176"/>
      <c r="F62" s="176"/>
      <c r="G62" s="176"/>
    </row>
    <row r="63" spans="1:7" s="177" customFormat="1" ht="49.5" customHeight="1">
      <c r="A63" s="160" t="s">
        <v>262</v>
      </c>
      <c r="B63" s="232">
        <f>B62/12</f>
        <v>665.9575716</v>
      </c>
      <c r="C63" s="232"/>
      <c r="D63" s="194"/>
      <c r="E63" s="176"/>
      <c r="F63" s="176"/>
      <c r="G63" s="176"/>
    </row>
    <row r="64" spans="1:7" s="177" customFormat="1" ht="15">
      <c r="A64" s="178" t="s">
        <v>249</v>
      </c>
      <c r="B64" s="202">
        <f>B63*B61</f>
        <v>350.5039850526316</v>
      </c>
      <c r="C64" s="202">
        <f>B63*C61</f>
        <v>315.45358654736845</v>
      </c>
      <c r="D64" s="143"/>
      <c r="E64" s="176"/>
      <c r="F64" s="176"/>
      <c r="G64" s="176"/>
    </row>
    <row r="65" spans="1:7" s="177" customFormat="1" ht="15">
      <c r="A65" s="179" t="s">
        <v>251</v>
      </c>
      <c r="B65" s="141">
        <v>185</v>
      </c>
      <c r="C65" s="141">
        <v>185</v>
      </c>
      <c r="D65" s="141"/>
      <c r="E65" s="176"/>
      <c r="F65" s="176"/>
      <c r="G65" s="176"/>
    </row>
    <row r="66" spans="1:7" s="177" customFormat="1" ht="15">
      <c r="A66" s="179" t="s">
        <v>252</v>
      </c>
      <c r="B66" s="139">
        <f>B65*24</f>
        <v>4440</v>
      </c>
      <c r="C66" s="139">
        <f>C65*24</f>
        <v>4440</v>
      </c>
      <c r="D66" s="141"/>
      <c r="E66" s="176"/>
      <c r="F66" s="176"/>
      <c r="G66" s="176"/>
    </row>
    <row r="67" spans="1:7" s="177" customFormat="1" ht="15">
      <c r="A67" s="221" t="s">
        <v>254</v>
      </c>
      <c r="B67" s="183">
        <f>B64*1000/B65/24/3600</f>
        <v>0.021928427493282755</v>
      </c>
      <c r="C67" s="183">
        <f>C64*1000/C65/24/3600</f>
        <v>0.019735584743954482</v>
      </c>
      <c r="D67" s="141"/>
      <c r="E67" s="176"/>
      <c r="F67" s="176"/>
      <c r="G67" s="176"/>
    </row>
    <row r="68" spans="1:7" s="177" customFormat="1" ht="15">
      <c r="A68" s="180"/>
      <c r="B68" s="141"/>
      <c r="C68" s="141"/>
      <c r="D68" s="141"/>
      <c r="E68" s="176"/>
      <c r="F68" s="176"/>
      <c r="G68" s="176"/>
    </row>
    <row r="69" spans="1:7" s="177" customFormat="1" ht="15">
      <c r="A69" s="180"/>
      <c r="B69" s="141"/>
      <c r="C69" s="141"/>
      <c r="D69" s="141"/>
      <c r="E69" s="176"/>
      <c r="F69" s="176"/>
      <c r="G69" s="176"/>
    </row>
    <row r="70" spans="1:7" s="177" customFormat="1" ht="15">
      <c r="A70" s="180"/>
      <c r="B70" s="141"/>
      <c r="C70" s="141"/>
      <c r="D70" s="141"/>
      <c r="E70" s="176"/>
      <c r="F70" s="176"/>
      <c r="G70" s="176"/>
    </row>
    <row r="71" spans="1:7" s="177" customFormat="1" ht="14.25">
      <c r="A71" s="181"/>
      <c r="B71" s="174"/>
      <c r="C71" s="174"/>
      <c r="D71" s="174"/>
      <c r="E71" s="176"/>
      <c r="F71" s="176"/>
      <c r="G71" s="176"/>
    </row>
    <row r="72" spans="1:7" s="177" customFormat="1" ht="14.25">
      <c r="A72" s="182"/>
      <c r="B72" s="183"/>
      <c r="C72" s="183"/>
      <c r="D72" s="183"/>
      <c r="E72" s="176"/>
      <c r="F72" s="176"/>
      <c r="G72" s="176"/>
    </row>
    <row r="73" spans="1:7" s="177" customFormat="1" ht="12.75">
      <c r="A73" s="176"/>
      <c r="B73" s="176"/>
      <c r="C73" s="176"/>
      <c r="D73" s="176"/>
      <c r="E73" s="176"/>
      <c r="F73" s="176"/>
      <c r="G73" s="176"/>
    </row>
    <row r="74" spans="1:7" s="177" customFormat="1" ht="12.75">
      <c r="A74" s="176"/>
      <c r="B74" s="176"/>
      <c r="C74" s="176"/>
      <c r="D74" s="176"/>
      <c r="E74" s="176"/>
      <c r="F74" s="176"/>
      <c r="G74" s="176"/>
    </row>
    <row r="75" spans="1:7" s="177" customFormat="1" ht="12.75">
      <c r="A75" s="176"/>
      <c r="B75" s="176"/>
      <c r="C75" s="176"/>
      <c r="D75" s="176"/>
      <c r="E75" s="176"/>
      <c r="F75" s="176"/>
      <c r="G75" s="176"/>
    </row>
    <row r="76" spans="1:7" s="177" customFormat="1" ht="12.75">
      <c r="A76" s="176"/>
      <c r="B76" s="176"/>
      <c r="C76" s="176"/>
      <c r="D76" s="176"/>
      <c r="E76" s="176"/>
      <c r="F76" s="176"/>
      <c r="G76" s="176"/>
    </row>
    <row r="77" spans="1:7" s="177" customFormat="1" ht="14.25">
      <c r="A77" s="192"/>
      <c r="B77" s="193"/>
      <c r="C77" s="193"/>
      <c r="D77" s="193"/>
      <c r="E77" s="176"/>
      <c r="F77" s="176"/>
      <c r="G77" s="176"/>
    </row>
    <row r="78" spans="1:7" s="177" customFormat="1" ht="12.75">
      <c r="A78" s="192"/>
      <c r="B78" s="194"/>
      <c r="C78" s="194"/>
      <c r="D78" s="194"/>
      <c r="E78" s="176"/>
      <c r="F78" s="176"/>
      <c r="G78" s="176"/>
    </row>
    <row r="79" spans="1:7" s="177" customFormat="1" ht="14.25">
      <c r="A79" s="178"/>
      <c r="B79" s="143"/>
      <c r="C79" s="143"/>
      <c r="D79" s="143"/>
      <c r="E79" s="176"/>
      <c r="F79" s="176"/>
      <c r="G79" s="176"/>
    </row>
    <row r="80" spans="1:7" s="177" customFormat="1" ht="15">
      <c r="A80" s="184"/>
      <c r="B80" s="144"/>
      <c r="C80" s="144"/>
      <c r="D80" s="144"/>
      <c r="E80" s="176"/>
      <c r="F80" s="176"/>
      <c r="G80" s="176"/>
    </row>
    <row r="81" spans="1:7" s="177" customFormat="1" ht="15">
      <c r="A81" s="184"/>
      <c r="B81" s="144"/>
      <c r="C81" s="144"/>
      <c r="D81" s="144"/>
      <c r="E81" s="176"/>
      <c r="F81" s="176"/>
      <c r="G81" s="176"/>
    </row>
    <row r="82" spans="1:7" s="177" customFormat="1" ht="14.25">
      <c r="A82" s="185"/>
      <c r="B82" s="186"/>
      <c r="C82" s="186"/>
      <c r="D82" s="186"/>
      <c r="E82" s="176"/>
      <c r="F82" s="176"/>
      <c r="G82" s="176"/>
    </row>
    <row r="83" spans="1:7" s="177" customFormat="1" ht="14.25">
      <c r="A83" s="187"/>
      <c r="B83" s="172"/>
      <c r="C83" s="172"/>
      <c r="D83" s="172"/>
      <c r="E83" s="176"/>
      <c r="F83" s="176"/>
      <c r="G83" s="176"/>
    </row>
    <row r="84" s="177" customFormat="1" ht="12.75">
      <c r="G84" s="176"/>
    </row>
    <row r="85" spans="1:7" s="177" customFormat="1" ht="12.75">
      <c r="A85" s="176"/>
      <c r="B85" s="176"/>
      <c r="C85" s="176"/>
      <c r="D85" s="176"/>
      <c r="E85" s="176"/>
      <c r="F85" s="176"/>
      <c r="G85" s="176"/>
    </row>
    <row r="86" spans="1:7" s="177" customFormat="1" ht="12.75">
      <c r="A86" s="176"/>
      <c r="B86" s="176"/>
      <c r="C86" s="176"/>
      <c r="D86" s="176"/>
      <c r="E86" s="176"/>
      <c r="F86" s="176"/>
      <c r="G86" s="176"/>
    </row>
    <row r="87" spans="1:7" s="177" customFormat="1" ht="14.25">
      <c r="A87" s="192"/>
      <c r="B87" s="193"/>
      <c r="C87" s="193"/>
      <c r="D87" s="193"/>
      <c r="E87" s="176"/>
      <c r="F87" s="176"/>
      <c r="G87" s="176"/>
    </row>
    <row r="88" spans="1:7" s="177" customFormat="1" ht="12.75">
      <c r="A88" s="192"/>
      <c r="B88" s="194"/>
      <c r="C88" s="194"/>
      <c r="D88" s="194"/>
      <c r="E88" s="176"/>
      <c r="F88" s="176"/>
      <c r="G88" s="176"/>
    </row>
    <row r="89" spans="1:7" s="177" customFormat="1" ht="14.25">
      <c r="A89" s="178"/>
      <c r="B89" s="143"/>
      <c r="C89" s="143"/>
      <c r="D89" s="143"/>
      <c r="E89" s="176"/>
      <c r="F89" s="176"/>
      <c r="G89" s="176"/>
    </row>
    <row r="90" spans="1:7" s="177" customFormat="1" ht="15">
      <c r="A90" s="184"/>
      <c r="B90" s="144"/>
      <c r="C90" s="144"/>
      <c r="D90" s="144"/>
      <c r="E90" s="176"/>
      <c r="F90" s="176"/>
      <c r="G90" s="176"/>
    </row>
    <row r="91" spans="1:7" s="177" customFormat="1" ht="14.25">
      <c r="A91" s="185"/>
      <c r="B91" s="186"/>
      <c r="C91" s="186"/>
      <c r="D91" s="186"/>
      <c r="E91" s="176"/>
      <c r="F91" s="176"/>
      <c r="G91" s="176"/>
    </row>
    <row r="92" spans="1:7" s="177" customFormat="1" ht="14.25">
      <c r="A92" s="187"/>
      <c r="B92" s="172"/>
      <c r="C92" s="172"/>
      <c r="D92" s="172"/>
      <c r="E92" s="176"/>
      <c r="F92" s="176"/>
      <c r="G92" s="176"/>
    </row>
    <row r="93" spans="1:7" s="177" customFormat="1" ht="12.75">
      <c r="A93" s="176"/>
      <c r="B93" s="176"/>
      <c r="C93" s="176"/>
      <c r="D93" s="176"/>
      <c r="E93" s="176"/>
      <c r="F93" s="176"/>
      <c r="G93" s="176"/>
    </row>
    <row r="94" spans="1:7" s="177" customFormat="1" ht="12.75">
      <c r="A94" s="176"/>
      <c r="B94" s="176"/>
      <c r="C94" s="176"/>
      <c r="D94" s="176"/>
      <c r="E94" s="176"/>
      <c r="F94" s="176"/>
      <c r="G94" s="176"/>
    </row>
    <row r="95" spans="1:7" s="177" customFormat="1" ht="12.75">
      <c r="A95" s="176"/>
      <c r="B95" s="176"/>
      <c r="C95" s="176"/>
      <c r="D95" s="176"/>
      <c r="E95" s="176"/>
      <c r="F95" s="176"/>
      <c r="G95" s="176"/>
    </row>
    <row r="96" spans="1:7" s="177" customFormat="1" ht="12.75">
      <c r="A96" s="176"/>
      <c r="B96" s="176"/>
      <c r="C96" s="176"/>
      <c r="D96" s="176"/>
      <c r="E96" s="176"/>
      <c r="F96" s="176"/>
      <c r="G96" s="176"/>
    </row>
    <row r="97" spans="1:7" s="177" customFormat="1" ht="12.75">
      <c r="A97" s="176"/>
      <c r="B97" s="176"/>
      <c r="C97" s="195"/>
      <c r="D97" s="195"/>
      <c r="E97" s="195"/>
      <c r="F97" s="195"/>
      <c r="G97" s="176"/>
    </row>
    <row r="98" spans="1:7" s="177" customFormat="1" ht="12.75">
      <c r="A98" s="188"/>
      <c r="B98" s="189"/>
      <c r="C98" s="195"/>
      <c r="D98" s="195"/>
      <c r="E98" s="195"/>
      <c r="F98" s="195"/>
      <c r="G98" s="176"/>
    </row>
    <row r="99" spans="1:7" s="177" customFormat="1" ht="12.75">
      <c r="A99" s="176"/>
      <c r="B99" s="176"/>
      <c r="C99" s="190"/>
      <c r="D99" s="190"/>
      <c r="E99" s="190"/>
      <c r="F99" s="190"/>
      <c r="G99" s="176"/>
    </row>
    <row r="100" spans="1:7" s="177" customFormat="1" ht="12.75">
      <c r="A100" s="176"/>
      <c r="B100" s="176"/>
      <c r="C100" s="191"/>
      <c r="D100" s="191"/>
      <c r="E100" s="191"/>
      <c r="F100" s="191"/>
      <c r="G100" s="176"/>
    </row>
    <row r="101" spans="1:7" s="177" customFormat="1" ht="12.75">
      <c r="A101" s="176"/>
      <c r="B101" s="176"/>
      <c r="C101" s="191"/>
      <c r="D101" s="191"/>
      <c r="E101" s="191"/>
      <c r="F101" s="191"/>
      <c r="G101" s="176"/>
    </row>
    <row r="102" spans="1:7" s="177" customFormat="1" ht="12.75">
      <c r="A102" s="176"/>
      <c r="B102" s="176"/>
      <c r="C102" s="190"/>
      <c r="D102" s="190"/>
      <c r="E102" s="190"/>
      <c r="F102" s="190"/>
      <c r="G102" s="176"/>
    </row>
    <row r="103" spans="1:7" s="177" customFormat="1" ht="12.75">
      <c r="A103" s="176"/>
      <c r="B103" s="176"/>
      <c r="C103" s="190"/>
      <c r="D103" s="190"/>
      <c r="E103" s="190"/>
      <c r="F103" s="190"/>
      <c r="G103" s="176"/>
    </row>
    <row r="104" spans="1:7" s="177" customFormat="1" ht="12.75">
      <c r="A104" s="176"/>
      <c r="B104" s="176"/>
      <c r="C104" s="190"/>
      <c r="D104" s="190"/>
      <c r="E104" s="190"/>
      <c r="F104" s="190"/>
      <c r="G104" s="176"/>
    </row>
    <row r="105" spans="1:7" s="177" customFormat="1" ht="12.75">
      <c r="A105" s="176"/>
      <c r="B105" s="176"/>
      <c r="C105" s="190"/>
      <c r="D105" s="190"/>
      <c r="E105" s="197"/>
      <c r="F105" s="197"/>
      <c r="G105" s="176"/>
    </row>
    <row r="106" spans="1:7" s="177" customFormat="1" ht="12.75">
      <c r="A106" s="176"/>
      <c r="B106" s="176"/>
      <c r="C106" s="190"/>
      <c r="D106" s="190"/>
      <c r="E106" s="190"/>
      <c r="F106" s="190"/>
      <c r="G106" s="176"/>
    </row>
    <row r="107" spans="1:7" s="177" customFormat="1" ht="12.75">
      <c r="A107" s="176"/>
      <c r="B107" s="176"/>
      <c r="C107" s="190"/>
      <c r="D107" s="190"/>
      <c r="E107" s="190"/>
      <c r="F107" s="190"/>
      <c r="G107" s="176"/>
    </row>
    <row r="108" spans="1:7" s="177" customFormat="1" ht="12.75">
      <c r="A108" s="176"/>
      <c r="B108" s="178"/>
      <c r="C108" s="196"/>
      <c r="D108" s="196"/>
      <c r="E108" s="190"/>
      <c r="F108" s="190"/>
      <c r="G108" s="176"/>
    </row>
  </sheetData>
  <sheetProtection selectLockedCells="1" selectUnlockedCells="1"/>
  <mergeCells count="4">
    <mergeCell ref="A17:F17"/>
    <mergeCell ref="B60:C60"/>
    <mergeCell ref="B62:C62"/>
    <mergeCell ref="B63:C63"/>
  </mergeCells>
  <printOptions/>
  <pageMargins left="0.5902777777777778" right="0.2361111111111111" top="0.6298611111111111" bottom="0.6298611111111111" header="0.15763888888888888" footer="0.5118055555555555"/>
  <pageSetup firstPageNumber="52" useFirstPageNumber="1" horizontalDpi="300" verticalDpi="300" orientation="portrait" paperSize="9" r:id="rId3"/>
  <headerFooter alignWithMargins="0">
    <oddHeader>&amp;CBendra tarša nuo laikomų galvijų. 1 priedas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Raimondas</dc:creator>
  <cp:keywords/>
  <dc:description/>
  <cp:lastModifiedBy>Raimondas</cp:lastModifiedBy>
  <cp:lastPrinted>2018-03-02T07:52:43Z</cp:lastPrinted>
  <dcterms:created xsi:type="dcterms:W3CDTF">2018-10-18T08:11:34Z</dcterms:created>
  <dcterms:modified xsi:type="dcterms:W3CDTF">2018-10-18T08:11:37Z</dcterms:modified>
  <cp:category/>
  <cp:version/>
  <cp:contentType/>
  <cp:contentStatus/>
</cp:coreProperties>
</file>